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2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drawings/drawing3.xml" ContentType="application/vnd.openxmlformats-officedocument.drawing+xml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drawings/drawing4.xml" ContentType="application/vnd.openxmlformats-officedocument.drawing+xml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embeddings/oleObject9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085" activeTab="1"/>
  </bookViews>
  <sheets>
    <sheet name="без учета бимомента и без тяжей" sheetId="1" r:id="rId1"/>
    <sheet name="без учета бимомента,один тяж" sheetId="7" r:id="rId2"/>
    <sheet name="без учета бимомента,два тяжа" sheetId="8" r:id="rId3"/>
    <sheet name="с учетом бимомента" sheetId="4" r:id="rId4"/>
    <sheet name="Приложение Б. Бычков" sheetId="3" r:id="rId5"/>
    <sheet name="Геом. характеристики швеллера" sheetId="6" r:id="rId6"/>
    <sheet name="Секториальные характер швеллера" sheetId="5" r:id="rId7"/>
  </sheets>
  <definedNames>
    <definedName name="_xlnm.Print_Area" localSheetId="0">'без учета бимомента и без тяжей'!$A$1:$G$141</definedName>
    <definedName name="_xlnm.Print_Area" localSheetId="2">'без учета бимомента,два тяжа'!$A$1:$G$180</definedName>
    <definedName name="_xlnm.Print_Area" localSheetId="1">'без учета бимомента,один тяж'!$A$1:$G$169</definedName>
    <definedName name="_xlnm.Print_Area" localSheetId="3">'с учетом бимомента'!$A$1:$G$195</definedName>
  </definedNames>
  <calcPr calcId="152511"/>
</workbook>
</file>

<file path=xl/calcChain.xml><?xml version="1.0" encoding="utf-8"?>
<calcChain xmlns="http://schemas.openxmlformats.org/spreadsheetml/2006/main">
  <c r="B187" i="4" l="1"/>
  <c r="D186" i="4" s="1"/>
  <c r="E27" i="4"/>
  <c r="E24" i="4"/>
  <c r="E23" i="4"/>
  <c r="E18" i="4"/>
  <c r="D171" i="8"/>
  <c r="B172" i="8"/>
  <c r="E27" i="8"/>
  <c r="E26" i="8"/>
  <c r="E25" i="8"/>
  <c r="E24" i="8"/>
  <c r="E23" i="8"/>
  <c r="E22" i="8"/>
  <c r="E18" i="8"/>
  <c r="B161" i="7"/>
  <c r="D160" i="7" s="1"/>
  <c r="E27" i="7"/>
  <c r="E26" i="7"/>
  <c r="E25" i="7"/>
  <c r="E24" i="7"/>
  <c r="E23" i="7"/>
  <c r="E22" i="7"/>
  <c r="E18" i="7"/>
  <c r="B133" i="1" l="1"/>
  <c r="D132" i="1" s="1"/>
  <c r="E25" i="1"/>
  <c r="E23" i="1"/>
  <c r="E22" i="1"/>
  <c r="E18" i="1"/>
  <c r="E24" i="1"/>
  <c r="E27" i="1"/>
  <c r="E26" i="1"/>
  <c r="E34" i="4" l="1"/>
  <c r="E33" i="4"/>
  <c r="E32" i="4"/>
  <c r="E31" i="4"/>
  <c r="E30" i="4"/>
  <c r="E29" i="4"/>
  <c r="E28" i="4"/>
  <c r="E26" i="4"/>
  <c r="E22" i="4"/>
  <c r="E21" i="4"/>
  <c r="E25" i="4"/>
  <c r="E41" i="4"/>
  <c r="D191" i="4" l="1"/>
  <c r="A195" i="4" s="1"/>
  <c r="Q153" i="8"/>
  <c r="P153" i="8"/>
  <c r="O153" i="8"/>
  <c r="N153" i="8"/>
  <c r="M153" i="8"/>
  <c r="L153" i="8"/>
  <c r="K153" i="8"/>
  <c r="Q152" i="8"/>
  <c r="P152" i="8"/>
  <c r="O152" i="8"/>
  <c r="N152" i="8"/>
  <c r="M152" i="8"/>
  <c r="L152" i="8"/>
  <c r="K152" i="8"/>
  <c r="Q151" i="8"/>
  <c r="P151" i="8"/>
  <c r="O151" i="8"/>
  <c r="N151" i="8"/>
  <c r="M151" i="8"/>
  <c r="L151" i="8"/>
  <c r="K151" i="8"/>
  <c r="Q150" i="8"/>
  <c r="P150" i="8"/>
  <c r="O150" i="8"/>
  <c r="N150" i="8"/>
  <c r="M150" i="8"/>
  <c r="L150" i="8"/>
  <c r="K150" i="8"/>
  <c r="Q149" i="8"/>
  <c r="P149" i="8"/>
  <c r="O149" i="8"/>
  <c r="N149" i="8"/>
  <c r="M149" i="8"/>
  <c r="L149" i="8"/>
  <c r="K149" i="8"/>
  <c r="Q148" i="8"/>
  <c r="P148" i="8"/>
  <c r="O148" i="8"/>
  <c r="N148" i="8"/>
  <c r="M148" i="8"/>
  <c r="L148" i="8"/>
  <c r="K148" i="8"/>
  <c r="Q147" i="8"/>
  <c r="P147" i="8"/>
  <c r="O147" i="8"/>
  <c r="N147" i="8"/>
  <c r="M147" i="8"/>
  <c r="L147" i="8"/>
  <c r="K147" i="8"/>
  <c r="Q146" i="8"/>
  <c r="P146" i="8"/>
  <c r="O146" i="8"/>
  <c r="N146" i="8"/>
  <c r="M146" i="8"/>
  <c r="L146" i="8"/>
  <c r="K146" i="8"/>
  <c r="Q145" i="8"/>
  <c r="P145" i="8"/>
  <c r="O145" i="8"/>
  <c r="N145" i="8"/>
  <c r="M145" i="8"/>
  <c r="L145" i="8"/>
  <c r="K145" i="8"/>
  <c r="Q144" i="8"/>
  <c r="P144" i="8"/>
  <c r="O144" i="8"/>
  <c r="N144" i="8"/>
  <c r="M144" i="8"/>
  <c r="L144" i="8"/>
  <c r="K144" i="8"/>
  <c r="Q143" i="8"/>
  <c r="P143" i="8"/>
  <c r="O143" i="8"/>
  <c r="N143" i="8"/>
  <c r="M143" i="8"/>
  <c r="L143" i="8"/>
  <c r="K143" i="8"/>
  <c r="Q142" i="8"/>
  <c r="P142" i="8"/>
  <c r="O142" i="8"/>
  <c r="N142" i="8"/>
  <c r="M142" i="8"/>
  <c r="L142" i="8"/>
  <c r="K142" i="8"/>
  <c r="Q141" i="8"/>
  <c r="P141" i="8"/>
  <c r="O141" i="8"/>
  <c r="N141" i="8"/>
  <c r="M141" i="8"/>
  <c r="L141" i="8"/>
  <c r="K141" i="8"/>
  <c r="Q140" i="8"/>
  <c r="P140" i="8"/>
  <c r="O140" i="8"/>
  <c r="N140" i="8"/>
  <c r="M140" i="8"/>
  <c r="L140" i="8"/>
  <c r="K140" i="8"/>
  <c r="Q139" i="8"/>
  <c r="P139" i="8"/>
  <c r="O139" i="8"/>
  <c r="N139" i="8"/>
  <c r="M139" i="8"/>
  <c r="L139" i="8"/>
  <c r="K139" i="8"/>
  <c r="Q138" i="8"/>
  <c r="P138" i="8"/>
  <c r="O138" i="8"/>
  <c r="N138" i="8"/>
  <c r="M138" i="8"/>
  <c r="L138" i="8"/>
  <c r="K138" i="8"/>
  <c r="Q137" i="8"/>
  <c r="P137" i="8"/>
  <c r="O137" i="8"/>
  <c r="N137" i="8"/>
  <c r="M137" i="8"/>
  <c r="L137" i="8"/>
  <c r="K137" i="8"/>
  <c r="Q136" i="8"/>
  <c r="P136" i="8"/>
  <c r="O136" i="8"/>
  <c r="N136" i="8"/>
  <c r="M136" i="8"/>
  <c r="L136" i="8"/>
  <c r="K136" i="8"/>
  <c r="Q135" i="8"/>
  <c r="P135" i="8"/>
  <c r="O135" i="8"/>
  <c r="N135" i="8"/>
  <c r="M135" i="8"/>
  <c r="L135" i="8"/>
  <c r="K135" i="8"/>
  <c r="Q134" i="8"/>
  <c r="P134" i="8"/>
  <c r="O134" i="8"/>
  <c r="N134" i="8"/>
  <c r="M134" i="8"/>
  <c r="L134" i="8"/>
  <c r="K134" i="8"/>
  <c r="Q133" i="8"/>
  <c r="P133" i="8"/>
  <c r="O133" i="8"/>
  <c r="N133" i="8"/>
  <c r="M133" i="8"/>
  <c r="L133" i="8"/>
  <c r="K133" i="8"/>
  <c r="Q132" i="8"/>
  <c r="P132" i="8"/>
  <c r="O132" i="8"/>
  <c r="N132" i="8"/>
  <c r="M132" i="8"/>
  <c r="L132" i="8"/>
  <c r="K132" i="8"/>
  <c r="Q131" i="8"/>
  <c r="P131" i="8"/>
  <c r="O131" i="8"/>
  <c r="N131" i="8"/>
  <c r="M131" i="8"/>
  <c r="L131" i="8"/>
  <c r="K131" i="8"/>
  <c r="Q130" i="8"/>
  <c r="P130" i="8"/>
  <c r="O130" i="8"/>
  <c r="N130" i="8"/>
  <c r="M130" i="8"/>
  <c r="L130" i="8"/>
  <c r="K130" i="8"/>
  <c r="Q129" i="8"/>
  <c r="P129" i="8"/>
  <c r="O129" i="8"/>
  <c r="N129" i="8"/>
  <c r="M129" i="8"/>
  <c r="L129" i="8"/>
  <c r="K129" i="8"/>
  <c r="Q128" i="8"/>
  <c r="P128" i="8"/>
  <c r="O128" i="8"/>
  <c r="N128" i="8"/>
  <c r="M128" i="8"/>
  <c r="L128" i="8"/>
  <c r="K128" i="8"/>
  <c r="Q127" i="8"/>
  <c r="P127" i="8"/>
  <c r="O127" i="8"/>
  <c r="N127" i="8"/>
  <c r="M127" i="8"/>
  <c r="L127" i="8"/>
  <c r="K127" i="8"/>
  <c r="Q126" i="8"/>
  <c r="P126" i="8"/>
  <c r="O126" i="8"/>
  <c r="N126" i="8"/>
  <c r="M126" i="8"/>
  <c r="L126" i="8"/>
  <c r="K126" i="8"/>
  <c r="Q125" i="8"/>
  <c r="P125" i="8"/>
  <c r="O125" i="8"/>
  <c r="N125" i="8"/>
  <c r="M125" i="8"/>
  <c r="L125" i="8"/>
  <c r="K125" i="8"/>
  <c r="Q124" i="8"/>
  <c r="P124" i="8"/>
  <c r="O124" i="8"/>
  <c r="N124" i="8"/>
  <c r="M124" i="8"/>
  <c r="L124" i="8"/>
  <c r="K124" i="8"/>
  <c r="Q123" i="8"/>
  <c r="P123" i="8"/>
  <c r="O123" i="8"/>
  <c r="N123" i="8"/>
  <c r="M123" i="8"/>
  <c r="L123" i="8"/>
  <c r="K123" i="8"/>
  <c r="Q122" i="8"/>
  <c r="P122" i="8"/>
  <c r="O122" i="8"/>
  <c r="N122" i="8"/>
  <c r="M122" i="8"/>
  <c r="L122" i="8"/>
  <c r="K122" i="8"/>
  <c r="Q121" i="8"/>
  <c r="P121" i="8"/>
  <c r="O121" i="8"/>
  <c r="N121" i="8"/>
  <c r="M121" i="8"/>
  <c r="L121" i="8"/>
  <c r="K121" i="8"/>
  <c r="Q120" i="8"/>
  <c r="P120" i="8"/>
  <c r="O120" i="8"/>
  <c r="N120" i="8"/>
  <c r="M120" i="8"/>
  <c r="L120" i="8"/>
  <c r="K120" i="8"/>
  <c r="Q119" i="8"/>
  <c r="P119" i="8"/>
  <c r="O119" i="8"/>
  <c r="N119" i="8"/>
  <c r="M119" i="8"/>
  <c r="L119" i="8"/>
  <c r="K119" i="8"/>
  <c r="P118" i="8"/>
  <c r="O118" i="8"/>
  <c r="N118" i="8"/>
  <c r="M118" i="8"/>
  <c r="L118" i="8"/>
  <c r="K118" i="8"/>
  <c r="Q118" i="8"/>
  <c r="E37" i="8"/>
  <c r="E36" i="8"/>
  <c r="E29" i="8"/>
  <c r="E28" i="8"/>
  <c r="E21" i="8"/>
  <c r="E38" i="8" l="1"/>
  <c r="D176" i="8"/>
  <c r="A180" i="8" s="1"/>
  <c r="E39" i="8"/>
  <c r="Q146" i="7"/>
  <c r="P146" i="7"/>
  <c r="O146" i="7"/>
  <c r="N146" i="7"/>
  <c r="M146" i="7"/>
  <c r="L146" i="7"/>
  <c r="K146" i="7"/>
  <c r="Q145" i="7"/>
  <c r="P145" i="7"/>
  <c r="O145" i="7"/>
  <c r="N145" i="7"/>
  <c r="M145" i="7"/>
  <c r="L145" i="7"/>
  <c r="K145" i="7"/>
  <c r="Q144" i="7"/>
  <c r="P144" i="7"/>
  <c r="O144" i="7"/>
  <c r="N144" i="7"/>
  <c r="M144" i="7"/>
  <c r="L144" i="7"/>
  <c r="K144" i="7"/>
  <c r="Q143" i="7"/>
  <c r="P143" i="7"/>
  <c r="O143" i="7"/>
  <c r="N143" i="7"/>
  <c r="M143" i="7"/>
  <c r="L143" i="7"/>
  <c r="K143" i="7"/>
  <c r="Q142" i="7"/>
  <c r="P142" i="7"/>
  <c r="O142" i="7"/>
  <c r="N142" i="7"/>
  <c r="M142" i="7"/>
  <c r="L142" i="7"/>
  <c r="K142" i="7"/>
  <c r="Q141" i="7"/>
  <c r="P141" i="7"/>
  <c r="O141" i="7"/>
  <c r="N141" i="7"/>
  <c r="M141" i="7"/>
  <c r="L141" i="7"/>
  <c r="K141" i="7"/>
  <c r="Q140" i="7"/>
  <c r="P140" i="7"/>
  <c r="O140" i="7"/>
  <c r="N140" i="7"/>
  <c r="M140" i="7"/>
  <c r="L140" i="7"/>
  <c r="K140" i="7"/>
  <c r="Q139" i="7"/>
  <c r="P139" i="7"/>
  <c r="O139" i="7"/>
  <c r="N139" i="7"/>
  <c r="M139" i="7"/>
  <c r="L139" i="7"/>
  <c r="K139" i="7"/>
  <c r="Q138" i="7"/>
  <c r="P138" i="7"/>
  <c r="O138" i="7"/>
  <c r="N138" i="7"/>
  <c r="M138" i="7"/>
  <c r="L138" i="7"/>
  <c r="K138" i="7"/>
  <c r="Q137" i="7"/>
  <c r="P137" i="7"/>
  <c r="O137" i="7"/>
  <c r="N137" i="7"/>
  <c r="M137" i="7"/>
  <c r="L137" i="7"/>
  <c r="K137" i="7"/>
  <c r="Q136" i="7"/>
  <c r="P136" i="7"/>
  <c r="O136" i="7"/>
  <c r="N136" i="7"/>
  <c r="M136" i="7"/>
  <c r="L136" i="7"/>
  <c r="K136" i="7"/>
  <c r="Q135" i="7"/>
  <c r="P135" i="7"/>
  <c r="O135" i="7"/>
  <c r="N135" i="7"/>
  <c r="M135" i="7"/>
  <c r="L135" i="7"/>
  <c r="K135" i="7"/>
  <c r="Q134" i="7"/>
  <c r="P134" i="7"/>
  <c r="O134" i="7"/>
  <c r="N134" i="7"/>
  <c r="M134" i="7"/>
  <c r="L134" i="7"/>
  <c r="K134" i="7"/>
  <c r="Q133" i="7"/>
  <c r="P133" i="7"/>
  <c r="O133" i="7"/>
  <c r="N133" i="7"/>
  <c r="M133" i="7"/>
  <c r="L133" i="7"/>
  <c r="K133" i="7"/>
  <c r="Q132" i="7"/>
  <c r="P132" i="7"/>
  <c r="O132" i="7"/>
  <c r="N132" i="7"/>
  <c r="M132" i="7"/>
  <c r="L132" i="7"/>
  <c r="K132" i="7"/>
  <c r="Q131" i="7"/>
  <c r="P131" i="7"/>
  <c r="O131" i="7"/>
  <c r="N131" i="7"/>
  <c r="M131" i="7"/>
  <c r="L131" i="7"/>
  <c r="K131" i="7"/>
  <c r="Q130" i="7"/>
  <c r="P130" i="7"/>
  <c r="O130" i="7"/>
  <c r="N130" i="7"/>
  <c r="M130" i="7"/>
  <c r="L130" i="7"/>
  <c r="K130" i="7"/>
  <c r="Q129" i="7"/>
  <c r="P129" i="7"/>
  <c r="O129" i="7"/>
  <c r="N129" i="7"/>
  <c r="M129" i="7"/>
  <c r="L129" i="7"/>
  <c r="K129" i="7"/>
  <c r="Q128" i="7"/>
  <c r="P128" i="7"/>
  <c r="O128" i="7"/>
  <c r="N128" i="7"/>
  <c r="M128" i="7"/>
  <c r="L128" i="7"/>
  <c r="K128" i="7"/>
  <c r="Q127" i="7"/>
  <c r="P127" i="7"/>
  <c r="O127" i="7"/>
  <c r="N127" i="7"/>
  <c r="M127" i="7"/>
  <c r="L127" i="7"/>
  <c r="K127" i="7"/>
  <c r="Q126" i="7"/>
  <c r="P126" i="7"/>
  <c r="O126" i="7"/>
  <c r="N126" i="7"/>
  <c r="M126" i="7"/>
  <c r="L126" i="7"/>
  <c r="K126" i="7"/>
  <c r="Q125" i="7"/>
  <c r="P125" i="7"/>
  <c r="O125" i="7"/>
  <c r="N125" i="7"/>
  <c r="M125" i="7"/>
  <c r="L125" i="7"/>
  <c r="K125" i="7"/>
  <c r="Q124" i="7"/>
  <c r="P124" i="7"/>
  <c r="O124" i="7"/>
  <c r="N124" i="7"/>
  <c r="M124" i="7"/>
  <c r="L124" i="7"/>
  <c r="K124" i="7"/>
  <c r="Q123" i="7"/>
  <c r="P123" i="7"/>
  <c r="O123" i="7"/>
  <c r="N123" i="7"/>
  <c r="M123" i="7"/>
  <c r="L123" i="7"/>
  <c r="K123" i="7"/>
  <c r="Q122" i="7"/>
  <c r="P122" i="7"/>
  <c r="O122" i="7"/>
  <c r="N122" i="7"/>
  <c r="M122" i="7"/>
  <c r="L122" i="7"/>
  <c r="K122" i="7"/>
  <c r="Q121" i="7"/>
  <c r="P121" i="7"/>
  <c r="O121" i="7"/>
  <c r="N121" i="7"/>
  <c r="M121" i="7"/>
  <c r="L121" i="7"/>
  <c r="K121" i="7"/>
  <c r="Q120" i="7"/>
  <c r="P120" i="7"/>
  <c r="O120" i="7"/>
  <c r="N120" i="7"/>
  <c r="M120" i="7"/>
  <c r="L120" i="7"/>
  <c r="K120" i="7"/>
  <c r="Q119" i="7"/>
  <c r="P119" i="7"/>
  <c r="O119" i="7"/>
  <c r="N119" i="7"/>
  <c r="M119" i="7"/>
  <c r="L119" i="7"/>
  <c r="K119" i="7"/>
  <c r="Q118" i="7"/>
  <c r="P118" i="7"/>
  <c r="O118" i="7"/>
  <c r="N118" i="7"/>
  <c r="M118" i="7"/>
  <c r="L118" i="7"/>
  <c r="K118" i="7"/>
  <c r="Q117" i="7"/>
  <c r="P117" i="7"/>
  <c r="O117" i="7"/>
  <c r="N117" i="7"/>
  <c r="M117" i="7"/>
  <c r="L117" i="7"/>
  <c r="K117" i="7"/>
  <c r="Q116" i="7"/>
  <c r="P116" i="7"/>
  <c r="O116" i="7"/>
  <c r="N116" i="7"/>
  <c r="M116" i="7"/>
  <c r="L116" i="7"/>
  <c r="K116" i="7"/>
  <c r="Q115" i="7"/>
  <c r="P115" i="7"/>
  <c r="O115" i="7"/>
  <c r="N115" i="7"/>
  <c r="M115" i="7"/>
  <c r="L115" i="7"/>
  <c r="K115" i="7"/>
  <c r="Q114" i="7"/>
  <c r="P114" i="7"/>
  <c r="O114" i="7"/>
  <c r="N114" i="7"/>
  <c r="M114" i="7"/>
  <c r="L114" i="7"/>
  <c r="K114" i="7"/>
  <c r="Q113" i="7"/>
  <c r="P113" i="7"/>
  <c r="O113" i="7"/>
  <c r="N113" i="7"/>
  <c r="M113" i="7"/>
  <c r="L113" i="7"/>
  <c r="K113" i="7"/>
  <c r="Q112" i="7"/>
  <c r="P112" i="7"/>
  <c r="O112" i="7"/>
  <c r="N112" i="7"/>
  <c r="M112" i="7"/>
  <c r="L112" i="7"/>
  <c r="K112" i="7"/>
  <c r="P111" i="7"/>
  <c r="O111" i="7"/>
  <c r="N111" i="7"/>
  <c r="M111" i="7"/>
  <c r="L111" i="7"/>
  <c r="K111" i="7"/>
  <c r="Q111" i="7"/>
  <c r="E37" i="7"/>
  <c r="E36" i="7"/>
  <c r="E29" i="7"/>
  <c r="E28" i="7"/>
  <c r="E21" i="7"/>
  <c r="D165" i="7" s="1"/>
  <c r="Q100" i="1"/>
  <c r="P100" i="1"/>
  <c r="O100" i="1"/>
  <c r="N100" i="1"/>
  <c r="M100" i="1"/>
  <c r="L100" i="1"/>
  <c r="K100" i="1"/>
  <c r="Q99" i="1"/>
  <c r="P99" i="1"/>
  <c r="O99" i="1"/>
  <c r="N99" i="1"/>
  <c r="M99" i="1"/>
  <c r="L99" i="1"/>
  <c r="K99" i="1"/>
  <c r="Q98" i="1"/>
  <c r="P98" i="1"/>
  <c r="O98" i="1"/>
  <c r="N98" i="1"/>
  <c r="M98" i="1"/>
  <c r="L98" i="1"/>
  <c r="K98" i="1"/>
  <c r="Q97" i="1"/>
  <c r="P97" i="1"/>
  <c r="O97" i="1"/>
  <c r="N97" i="1"/>
  <c r="M97" i="1"/>
  <c r="L97" i="1"/>
  <c r="K97" i="1"/>
  <c r="Q96" i="1"/>
  <c r="P96" i="1"/>
  <c r="O96" i="1"/>
  <c r="N96" i="1"/>
  <c r="M96" i="1"/>
  <c r="L96" i="1"/>
  <c r="K96" i="1"/>
  <c r="Q95" i="1"/>
  <c r="P95" i="1"/>
  <c r="O95" i="1"/>
  <c r="N95" i="1"/>
  <c r="M95" i="1"/>
  <c r="L95" i="1"/>
  <c r="K95" i="1"/>
  <c r="Q94" i="1"/>
  <c r="P94" i="1"/>
  <c r="O94" i="1"/>
  <c r="N94" i="1"/>
  <c r="M94" i="1"/>
  <c r="L94" i="1"/>
  <c r="K94" i="1"/>
  <c r="Q93" i="1"/>
  <c r="P93" i="1"/>
  <c r="O93" i="1"/>
  <c r="N93" i="1"/>
  <c r="M93" i="1"/>
  <c r="L93" i="1"/>
  <c r="K93" i="1"/>
  <c r="Q92" i="1"/>
  <c r="P92" i="1"/>
  <c r="O92" i="1"/>
  <c r="N92" i="1"/>
  <c r="M92" i="1"/>
  <c r="L92" i="1"/>
  <c r="K92" i="1"/>
  <c r="Q91" i="1"/>
  <c r="P91" i="1"/>
  <c r="O91" i="1"/>
  <c r="Q90" i="1"/>
  <c r="P90" i="1"/>
  <c r="O90" i="1"/>
  <c r="N90" i="1"/>
  <c r="M90" i="1"/>
  <c r="L90" i="1"/>
  <c r="K90" i="1"/>
  <c r="Q89" i="1"/>
  <c r="P89" i="1"/>
  <c r="O89" i="1"/>
  <c r="N89" i="1"/>
  <c r="M89" i="1"/>
  <c r="L89" i="1"/>
  <c r="K89" i="1"/>
  <c r="Q88" i="1"/>
  <c r="P88" i="1"/>
  <c r="O88" i="1"/>
  <c r="N88" i="1"/>
  <c r="M88" i="1"/>
  <c r="L88" i="1"/>
  <c r="K88" i="1"/>
  <c r="Q87" i="1"/>
  <c r="P87" i="1"/>
  <c r="O87" i="1"/>
  <c r="N87" i="1"/>
  <c r="M87" i="1"/>
  <c r="L87" i="1"/>
  <c r="K87" i="1"/>
  <c r="Q86" i="1"/>
  <c r="P86" i="1"/>
  <c r="O86" i="1"/>
  <c r="N86" i="1"/>
  <c r="M86" i="1"/>
  <c r="L86" i="1"/>
  <c r="K86" i="1"/>
  <c r="Q85" i="1"/>
  <c r="P85" i="1"/>
  <c r="O85" i="1"/>
  <c r="N85" i="1"/>
  <c r="M85" i="1"/>
  <c r="L85" i="1"/>
  <c r="K85" i="1"/>
  <c r="Q84" i="1"/>
  <c r="P84" i="1"/>
  <c r="O84" i="1"/>
  <c r="N84" i="1"/>
  <c r="M84" i="1"/>
  <c r="L84" i="1"/>
  <c r="K84" i="1"/>
  <c r="Q83" i="1"/>
  <c r="P83" i="1"/>
  <c r="O83" i="1"/>
  <c r="N83" i="1"/>
  <c r="M83" i="1"/>
  <c r="L83" i="1"/>
  <c r="K83" i="1"/>
  <c r="Q82" i="1"/>
  <c r="P82" i="1"/>
  <c r="O82" i="1"/>
  <c r="N82" i="1"/>
  <c r="M82" i="1"/>
  <c r="L82" i="1"/>
  <c r="K82" i="1"/>
  <c r="Q81" i="1"/>
  <c r="P81" i="1"/>
  <c r="O81" i="1"/>
  <c r="N81" i="1"/>
  <c r="M81" i="1"/>
  <c r="L81" i="1"/>
  <c r="K81" i="1"/>
  <c r="Q80" i="1"/>
  <c r="P80" i="1"/>
  <c r="O80" i="1"/>
  <c r="N80" i="1"/>
  <c r="M80" i="1"/>
  <c r="L80" i="1"/>
  <c r="K80" i="1"/>
  <c r="Q79" i="1"/>
  <c r="P79" i="1"/>
  <c r="O79" i="1"/>
  <c r="N79" i="1"/>
  <c r="M79" i="1"/>
  <c r="L79" i="1"/>
  <c r="K79" i="1"/>
  <c r="Q78" i="1"/>
  <c r="P78" i="1"/>
  <c r="O78" i="1"/>
  <c r="N78" i="1"/>
  <c r="M78" i="1"/>
  <c r="L78" i="1"/>
  <c r="K78" i="1"/>
  <c r="Q77" i="1"/>
  <c r="P77" i="1"/>
  <c r="O77" i="1"/>
  <c r="N77" i="1"/>
  <c r="M77" i="1"/>
  <c r="L77" i="1"/>
  <c r="K77" i="1"/>
  <c r="Q76" i="1"/>
  <c r="P76" i="1"/>
  <c r="O76" i="1"/>
  <c r="N76" i="1"/>
  <c r="M76" i="1"/>
  <c r="L76" i="1"/>
  <c r="K76" i="1"/>
  <c r="Q75" i="1"/>
  <c r="P75" i="1"/>
  <c r="O75" i="1"/>
  <c r="N75" i="1"/>
  <c r="M75" i="1"/>
  <c r="L75" i="1"/>
  <c r="K75" i="1"/>
  <c r="Q74" i="1"/>
  <c r="P74" i="1"/>
  <c r="O74" i="1"/>
  <c r="N74" i="1"/>
  <c r="M74" i="1"/>
  <c r="L74" i="1"/>
  <c r="K74" i="1"/>
  <c r="Q73" i="1"/>
  <c r="P73" i="1"/>
  <c r="O73" i="1"/>
  <c r="N73" i="1"/>
  <c r="M73" i="1"/>
  <c r="L73" i="1"/>
  <c r="K73" i="1"/>
  <c r="Q72" i="1"/>
  <c r="P72" i="1"/>
  <c r="O72" i="1"/>
  <c r="N72" i="1"/>
  <c r="M72" i="1"/>
  <c r="L72" i="1"/>
  <c r="K72" i="1"/>
  <c r="Q71" i="1"/>
  <c r="P71" i="1"/>
  <c r="O71" i="1"/>
  <c r="N71" i="1"/>
  <c r="M71" i="1"/>
  <c r="L71" i="1"/>
  <c r="K71" i="1"/>
  <c r="Q70" i="1"/>
  <c r="P70" i="1"/>
  <c r="O70" i="1"/>
  <c r="N70" i="1"/>
  <c r="M70" i="1"/>
  <c r="L70" i="1"/>
  <c r="K70" i="1"/>
  <c r="Q69" i="1"/>
  <c r="P69" i="1"/>
  <c r="O69" i="1"/>
  <c r="N69" i="1"/>
  <c r="M69" i="1"/>
  <c r="L69" i="1"/>
  <c r="K69" i="1"/>
  <c r="Q68" i="1"/>
  <c r="P68" i="1"/>
  <c r="O68" i="1"/>
  <c r="N68" i="1"/>
  <c r="M68" i="1"/>
  <c r="L68" i="1"/>
  <c r="K68" i="1"/>
  <c r="Q67" i="1"/>
  <c r="P67" i="1"/>
  <c r="O67" i="1"/>
  <c r="N67" i="1"/>
  <c r="M67" i="1"/>
  <c r="L67" i="1"/>
  <c r="K67" i="1"/>
  <c r="Q66" i="1"/>
  <c r="P66" i="1"/>
  <c r="O66" i="1"/>
  <c r="N66" i="1"/>
  <c r="M66" i="1"/>
  <c r="L66" i="1"/>
  <c r="K66" i="1"/>
  <c r="Q65" i="1"/>
  <c r="P65" i="1"/>
  <c r="O65" i="1"/>
  <c r="N65" i="1"/>
  <c r="M65" i="1"/>
  <c r="L65" i="1"/>
  <c r="K65" i="1"/>
  <c r="K91" i="1"/>
  <c r="L91" i="1"/>
  <c r="M91" i="1"/>
  <c r="N91" i="1"/>
  <c r="E38" i="7" l="1"/>
  <c r="C104" i="8"/>
  <c r="C112" i="8"/>
  <c r="C108" i="8"/>
  <c r="C96" i="8"/>
  <c r="C92" i="8"/>
  <c r="C159" i="8" s="1"/>
  <c r="E159" i="8" s="1"/>
  <c r="C88" i="8"/>
  <c r="C100" i="8"/>
  <c r="E39" i="7"/>
  <c r="E29" i="1"/>
  <c r="E28" i="1"/>
  <c r="E21" i="1"/>
  <c r="E37" i="1"/>
  <c r="E36" i="1"/>
  <c r="E38" i="1" l="1"/>
  <c r="E39" i="1" s="1"/>
  <c r="D137" i="1"/>
  <c r="A141" i="1" s="1"/>
  <c r="D142" i="8"/>
  <c r="C146" i="8" s="1"/>
  <c r="E146" i="8" s="1"/>
  <c r="C132" i="8"/>
  <c r="E132" i="8" s="1"/>
  <c r="C157" i="8"/>
  <c r="E157" i="8" s="1"/>
  <c r="A169" i="7"/>
  <c r="D123" i="8"/>
  <c r="E123" i="8" s="1"/>
  <c r="D119" i="8"/>
  <c r="E119" i="8" s="1"/>
  <c r="C88" i="7"/>
  <c r="C96" i="7"/>
  <c r="C104" i="7"/>
  <c r="C100" i="7"/>
  <c r="C92" i="7"/>
  <c r="C148" i="7" s="1"/>
  <c r="E148" i="7" s="1"/>
  <c r="C87" i="4"/>
  <c r="C121" i="7" l="1"/>
  <c r="E121" i="7" s="1"/>
  <c r="D131" i="7"/>
  <c r="C135" i="7" s="1"/>
  <c r="E135" i="7" s="1"/>
  <c r="C146" i="7"/>
  <c r="E146" i="7" s="1"/>
  <c r="C69" i="1"/>
  <c r="C120" i="1" s="1"/>
  <c r="E120" i="1" s="1"/>
  <c r="D112" i="7"/>
  <c r="E112" i="7" s="1"/>
  <c r="C65" i="1"/>
  <c r="C73" i="1"/>
  <c r="C77" i="1"/>
  <c r="A37" i="3"/>
  <c r="B37" i="3" s="1"/>
  <c r="C118" i="1" l="1"/>
  <c r="E118" i="1" s="1"/>
  <c r="C93" i="1"/>
  <c r="E93" i="1" s="1"/>
  <c r="D103" i="1"/>
  <c r="C107" i="1" s="1"/>
  <c r="E107" i="1" s="1"/>
  <c r="C90" i="4"/>
  <c r="E43" i="4"/>
  <c r="E42" i="4"/>
  <c r="D84" i="1"/>
  <c r="E84" i="1" s="1"/>
  <c r="E44" i="4" l="1"/>
  <c r="C92" i="4" s="1"/>
  <c r="C79" i="4" l="1"/>
  <c r="C71" i="4"/>
  <c r="C174" i="4" s="1"/>
  <c r="E174" i="4" s="1"/>
  <c r="C67" i="4"/>
  <c r="C75" i="4"/>
  <c r="C147" i="4" l="1"/>
  <c r="E147" i="4" s="1"/>
  <c r="C172" i="4"/>
  <c r="E172" i="4" s="1"/>
  <c r="D157" i="4"/>
  <c r="C161" i="4" s="1"/>
  <c r="E161" i="4" s="1"/>
  <c r="E122" i="4"/>
  <c r="E137" i="4"/>
  <c r="E127" i="4"/>
  <c r="E132" i="4"/>
  <c r="A139" i="4" l="1"/>
</calcChain>
</file>

<file path=xl/sharedStrings.xml><?xml version="1.0" encoding="utf-8"?>
<sst xmlns="http://schemas.openxmlformats.org/spreadsheetml/2006/main" count="870" uniqueCount="298">
  <si>
    <t>Инструкция:</t>
  </si>
  <si>
    <t>Исходные данные:</t>
  </si>
  <si>
    <t>Наименование</t>
  </si>
  <si>
    <t>Значение</t>
  </si>
  <si>
    <t>Прогон принят однопролетный с равномернораспределенной нагрузкой.</t>
  </si>
  <si>
    <t xml:space="preserve">В данной программе расчитывается прогон без учета бимомента на скатной кровле.  </t>
  </si>
  <si>
    <t>Пролет (l), м</t>
  </si>
  <si>
    <t>Расчет прогона из швеллера для наклонной кровли согласно СНиП II-23-81 (без учета бимомента)</t>
  </si>
  <si>
    <t>Расчет:</t>
  </si>
  <si>
    <t>Схема нагружения прогона кровли</t>
  </si>
  <si>
    <t>Передача нагрузки принята через сплошной жесткий настил, который надежно связан с прогоном (расчет на устойчивость не требуется)</t>
  </si>
  <si>
    <r>
      <t>Угол наклона (α</t>
    </r>
    <r>
      <rPr>
        <sz val="12.85"/>
        <color theme="1"/>
        <rFont val="Arial Narrow"/>
        <family val="2"/>
        <charset val="204"/>
      </rPr>
      <t>), град</t>
    </r>
  </si>
  <si>
    <t>Для балки с шарнирным закрепленией по обоим сторонам и равномерно-распределенной нагрузкой, максимальный момент М и сила Q находятся по следующим формулам:</t>
  </si>
  <si>
    <t>Т.к. прогон расположен под углом, то формулы нахождения Q и M изменятся следующим образом:</t>
  </si>
  <si>
    <t>кН</t>
  </si>
  <si>
    <t>кН*м</t>
  </si>
  <si>
    <r>
      <t>Момент сопротивления сечения относительно оси х-х (Wx), см</t>
    </r>
    <r>
      <rPr>
        <sz val="12"/>
        <color theme="1"/>
        <rFont val="Calibri"/>
        <family val="2"/>
        <charset val="204"/>
      </rPr>
      <t>³</t>
    </r>
  </si>
  <si>
    <t>Профиль согласно ГОСТ 8240-97</t>
  </si>
  <si>
    <t>20П</t>
  </si>
  <si>
    <r>
      <t>Момент сопротивления сечения относительно оси y-y (Wy), см</t>
    </r>
    <r>
      <rPr>
        <sz val="12"/>
        <color theme="1"/>
        <rFont val="Calibri"/>
        <family val="2"/>
        <charset val="204"/>
      </rPr>
      <t>³</t>
    </r>
  </si>
  <si>
    <t>Коэффициент условий работы (γс)</t>
  </si>
  <si>
    <t>Примечание</t>
  </si>
  <si>
    <t>Производим проверку профиля на прочность согласно формуле 38 СНиП II-23-81</t>
  </si>
  <si>
    <t>Расчетное сопротивление стали (Ry), МПа</t>
  </si>
  <si>
    <t>Производим проверку профиля на прочность согласно формуле 43 СП 16.13330.2011</t>
  </si>
  <si>
    <t>Расчетная схема:</t>
  </si>
  <si>
    <t>Расчет прогона из швеллера для наклонной кровли согласно СП 16.13330.2011 (с учетом бимомента)</t>
  </si>
  <si>
    <t>Шаг прогонов (a), м</t>
  </si>
  <si>
    <t>Расчетная снеговая нагрузка</t>
  </si>
  <si>
    <t>Шаг в проекции на горизонтальную плоскость</t>
  </si>
  <si>
    <t>Расчетная нагрузка веса покрытия</t>
  </si>
  <si>
    <t>см. таблица 1 СП 16.13330.2011</t>
  </si>
  <si>
    <r>
      <t>Вес покрытия (q</t>
    </r>
    <r>
      <rPr>
        <vertAlign val="subscript"/>
        <sz val="12"/>
        <color theme="1"/>
        <rFont val="Arial Narrow"/>
        <family val="2"/>
        <charset val="204"/>
      </rPr>
      <t>вес</t>
    </r>
    <r>
      <rPr>
        <sz val="12"/>
        <color theme="1"/>
        <rFont val="Arial Narrow"/>
        <family val="2"/>
        <charset val="204"/>
      </rPr>
      <t>), кг/м</t>
    </r>
    <r>
      <rPr>
        <sz val="12"/>
        <color theme="1"/>
        <rFont val="Calibri"/>
        <family val="2"/>
        <charset val="204"/>
      </rPr>
      <t>²</t>
    </r>
  </si>
  <si>
    <r>
      <t>Вес п.м. профиля(q</t>
    </r>
    <r>
      <rPr>
        <vertAlign val="subscript"/>
        <sz val="12"/>
        <color theme="1"/>
        <rFont val="Arial Narrow"/>
        <family val="2"/>
        <charset val="204"/>
      </rPr>
      <t>проф</t>
    </r>
    <r>
      <rPr>
        <sz val="12"/>
        <color theme="1"/>
        <rFont val="Arial Narrow"/>
        <family val="2"/>
        <charset val="204"/>
      </rPr>
      <t>), кг</t>
    </r>
  </si>
  <si>
    <t>Расчет нагрузки на прогон:</t>
  </si>
  <si>
    <r>
      <t>Снеговая нагрузка (q</t>
    </r>
    <r>
      <rPr>
        <vertAlign val="subscript"/>
        <sz val="12"/>
        <color theme="1"/>
        <rFont val="Arial Narrow"/>
        <family val="2"/>
        <charset val="204"/>
      </rPr>
      <t>сн</t>
    </r>
    <r>
      <rPr>
        <sz val="12"/>
        <color theme="1"/>
        <rFont val="Arial Narrow"/>
        <family val="2"/>
        <charset val="204"/>
      </rPr>
      <t>*a), кг/м</t>
    </r>
  </si>
  <si>
    <r>
      <t>Вес покрытия (q</t>
    </r>
    <r>
      <rPr>
        <vertAlign val="subscript"/>
        <sz val="12"/>
        <color theme="1"/>
        <rFont val="Arial Narrow"/>
        <family val="2"/>
        <charset val="204"/>
      </rPr>
      <t>вес</t>
    </r>
    <r>
      <rPr>
        <sz val="12"/>
        <color theme="1"/>
        <rFont val="Arial Narrow"/>
        <family val="2"/>
        <charset val="204"/>
      </rPr>
      <t>*a), кг/м</t>
    </r>
  </si>
  <si>
    <t>Итого (q), кг/м</t>
  </si>
  <si>
    <r>
      <t>Вес прогона (q</t>
    </r>
    <r>
      <rPr>
        <vertAlign val="subscript"/>
        <sz val="12"/>
        <color theme="1"/>
        <rFont val="Arial Narrow"/>
        <family val="2"/>
        <charset val="204"/>
      </rPr>
      <t>вес</t>
    </r>
    <r>
      <rPr>
        <sz val="12"/>
        <color theme="1"/>
        <rFont val="Arial Narrow"/>
        <family val="2"/>
        <charset val="204"/>
      </rPr>
      <t>), кг/м</t>
    </r>
  </si>
  <si>
    <t>Наименование нагрузки</t>
  </si>
  <si>
    <t>Рассмотрим следующие 4 точки сечения:</t>
  </si>
  <si>
    <t>Учет знаков для точек расчета</t>
  </si>
  <si>
    <r>
      <t>Момент инерции сечения относительно оси х-х (Ix), см</t>
    </r>
    <r>
      <rPr>
        <vertAlign val="superscript"/>
        <sz val="12"/>
        <color theme="1"/>
        <rFont val="Calibri"/>
        <family val="2"/>
        <charset val="204"/>
      </rPr>
      <t>4</t>
    </r>
  </si>
  <si>
    <r>
      <t>Момент инерции сечения относительно оси y-y (Iy), см</t>
    </r>
    <r>
      <rPr>
        <vertAlign val="superscript"/>
        <sz val="12"/>
        <color theme="1"/>
        <rFont val="Calibri"/>
        <family val="2"/>
        <charset val="204"/>
      </rPr>
      <t>4</t>
    </r>
  </si>
  <si>
    <t>Высота профиля (h), мм</t>
  </si>
  <si>
    <t>Ширина профиля (b), мм</t>
  </si>
  <si>
    <t>см. ГОСТ 8240-97</t>
  </si>
  <si>
    <t>см. Руководство по подбору сечения строительных конструкций. Приложение 3</t>
  </si>
  <si>
    <r>
      <t>Секториальная площадь (</t>
    </r>
    <r>
      <rPr>
        <sz val="12"/>
        <color theme="1"/>
        <rFont val="Calibri"/>
        <family val="2"/>
        <charset val="204"/>
      </rPr>
      <t>ω</t>
    </r>
    <r>
      <rPr>
        <sz val="12"/>
        <color theme="1"/>
        <rFont val="Arial Narrow"/>
        <family val="2"/>
        <charset val="204"/>
      </rPr>
      <t>1), см</t>
    </r>
    <r>
      <rPr>
        <vertAlign val="superscript"/>
        <sz val="12"/>
        <color theme="1"/>
        <rFont val="Arial Narrow"/>
        <family val="2"/>
        <charset val="204"/>
      </rPr>
      <t>2</t>
    </r>
  </si>
  <si>
    <r>
      <t>Секториальная площадь (</t>
    </r>
    <r>
      <rPr>
        <sz val="12"/>
        <color theme="1"/>
        <rFont val="Calibri"/>
        <family val="2"/>
        <charset val="204"/>
      </rPr>
      <t>ω2</t>
    </r>
    <r>
      <rPr>
        <sz val="12"/>
        <color theme="1"/>
        <rFont val="Arial Narrow"/>
        <family val="2"/>
        <charset val="204"/>
      </rPr>
      <t>), см</t>
    </r>
    <r>
      <rPr>
        <vertAlign val="superscript"/>
        <sz val="12"/>
        <color theme="1"/>
        <rFont val="Arial Narrow"/>
        <family val="2"/>
        <charset val="204"/>
      </rPr>
      <t>2</t>
    </r>
  </si>
  <si>
    <r>
      <t>Расстояние от оси Y— Y до наружной грани стенки (X</t>
    </r>
    <r>
      <rPr>
        <vertAlign val="subscript"/>
        <sz val="12"/>
        <color theme="1"/>
        <rFont val="Arial Narrow"/>
        <family val="2"/>
        <charset val="204"/>
      </rPr>
      <t>0</t>
    </r>
    <r>
      <rPr>
        <sz val="12"/>
        <color theme="1"/>
        <rFont val="Arial Narrow"/>
        <family val="2"/>
        <charset val="204"/>
      </rPr>
      <t>), см</t>
    </r>
  </si>
  <si>
    <t>kl</t>
  </si>
  <si>
    <r>
      <t>Угол наклона (φ</t>
    </r>
    <r>
      <rPr>
        <sz val="12.85"/>
        <color theme="1"/>
        <rFont val="Arial Narrow"/>
        <family val="2"/>
        <charset val="204"/>
      </rPr>
      <t>), град</t>
    </r>
  </si>
  <si>
    <t>α</t>
  </si>
  <si>
    <t xml:space="preserve"> </t>
  </si>
  <si>
    <t>№ профиля</t>
  </si>
  <si>
    <t>см. Бычков Д.В. Строительная механика стержневых тонкостенных конструкций Приложение Б</t>
  </si>
  <si>
    <t>B=</t>
  </si>
  <si>
    <t>e=</t>
  </si>
  <si>
    <t>Рассчитываем бимомент:</t>
  </si>
  <si>
    <t>α=</t>
  </si>
  <si>
    <t>мм</t>
  </si>
  <si>
    <r>
      <t>кг*см</t>
    </r>
    <r>
      <rPr>
        <sz val="12"/>
        <color theme="1"/>
        <rFont val="Calibri"/>
        <family val="2"/>
        <charset val="204"/>
      </rPr>
      <t>²</t>
    </r>
  </si>
  <si>
    <r>
      <t>Секториальный момент инерции (I</t>
    </r>
    <r>
      <rPr>
        <sz val="12"/>
        <color theme="1"/>
        <rFont val="Calibri"/>
        <family val="2"/>
        <charset val="204"/>
      </rPr>
      <t>ω</t>
    </r>
    <r>
      <rPr>
        <sz val="12"/>
        <color theme="1"/>
        <rFont val="Arial Narrow"/>
        <family val="2"/>
        <charset val="204"/>
      </rPr>
      <t>), см</t>
    </r>
    <r>
      <rPr>
        <vertAlign val="superscript"/>
        <sz val="12"/>
        <color theme="1"/>
        <rFont val="Arial Narrow"/>
        <family val="2"/>
        <charset val="204"/>
      </rPr>
      <t>6</t>
    </r>
  </si>
  <si>
    <t>Расчет для точки №1</t>
  </si>
  <si>
    <t>Расчет для точки №2</t>
  </si>
  <si>
    <t>Расчет для точки №3</t>
  </si>
  <si>
    <t>Расчет для точки №4</t>
  </si>
  <si>
    <r>
      <t>Вес покрытия (q</t>
    </r>
    <r>
      <rPr>
        <vertAlign val="subscript"/>
        <sz val="12"/>
        <color theme="1"/>
        <rFont val="Arial Narrow"/>
        <family val="2"/>
        <charset val="204"/>
      </rPr>
      <t>вес</t>
    </r>
    <r>
      <rPr>
        <sz val="12"/>
        <color theme="1"/>
        <rFont val="Arial Narrow"/>
        <family val="2"/>
        <charset val="204"/>
      </rPr>
      <t>*a), кг/м</t>
    </r>
    <r>
      <rPr>
        <sz val="12"/>
        <color theme="1"/>
        <rFont val="Calibri"/>
        <family val="2"/>
        <charset val="204"/>
      </rPr>
      <t>²</t>
    </r>
  </si>
  <si>
    <r>
      <t>Вес прогона (q</t>
    </r>
    <r>
      <rPr>
        <vertAlign val="subscript"/>
        <sz val="12"/>
        <color theme="1"/>
        <rFont val="Arial Narrow"/>
        <family val="2"/>
        <charset val="204"/>
      </rPr>
      <t>вес</t>
    </r>
    <r>
      <rPr>
        <sz val="12"/>
        <color theme="1"/>
        <rFont val="Arial Narrow"/>
        <family val="2"/>
        <charset val="204"/>
      </rPr>
      <t>), кг/м.п.</t>
    </r>
  </si>
  <si>
    <t>Шаг расположения прогонов, м</t>
  </si>
  <si>
    <t>Таблица сделана на основе ГОСТ 8240-97</t>
  </si>
  <si>
    <t>5У</t>
  </si>
  <si>
    <t>6,5У</t>
  </si>
  <si>
    <t>8У</t>
  </si>
  <si>
    <t>10У</t>
  </si>
  <si>
    <t>12У</t>
  </si>
  <si>
    <t>14У</t>
  </si>
  <si>
    <t>16У</t>
  </si>
  <si>
    <t>16аУ</t>
  </si>
  <si>
    <t>18У</t>
  </si>
  <si>
    <t>18аУ</t>
  </si>
  <si>
    <t>20У</t>
  </si>
  <si>
    <t>22У</t>
  </si>
  <si>
    <t>24У</t>
  </si>
  <si>
    <t>27У</t>
  </si>
  <si>
    <t>30У</t>
  </si>
  <si>
    <t>33У</t>
  </si>
  <si>
    <t>36У</t>
  </si>
  <si>
    <t>40У</t>
  </si>
  <si>
    <t>7,0</t>
  </si>
  <si>
    <t>6,0</t>
  </si>
  <si>
    <t>2,5</t>
  </si>
  <si>
    <t>6,16</t>
  </si>
  <si>
    <t>1,92</t>
  </si>
  <si>
    <t>5,61</t>
  </si>
  <si>
    <t>0,95</t>
  </si>
  <si>
    <t>7,51</t>
  </si>
  <si>
    <t>15,0</t>
  </si>
  <si>
    <t>2,54</t>
  </si>
  <si>
    <t>1,08</t>
  </si>
  <si>
    <t>1,24</t>
  </si>
  <si>
    <t>4,5</t>
  </si>
  <si>
    <t>6,5</t>
  </si>
  <si>
    <t>8,98</t>
  </si>
  <si>
    <t>3,16</t>
  </si>
  <si>
    <t>1,19</t>
  </si>
  <si>
    <t>3,0</t>
  </si>
  <si>
    <t>10,90</t>
  </si>
  <si>
    <t>3,99</t>
  </si>
  <si>
    <t>1,37</t>
  </si>
  <si>
    <t>1,44</t>
  </si>
  <si>
    <t>7,5</t>
  </si>
  <si>
    <t>13,30</t>
  </si>
  <si>
    <t>4,78</t>
  </si>
  <si>
    <t>1,53</t>
  </si>
  <si>
    <t>8,0</t>
  </si>
  <si>
    <t>15,60</t>
  </si>
  <si>
    <t>5,60</t>
  </si>
  <si>
    <t>1,70</t>
  </si>
  <si>
    <t>5,0</t>
  </si>
  <si>
    <t>8,5</t>
  </si>
  <si>
    <t>3,5</t>
  </si>
  <si>
    <t>18,10</t>
  </si>
  <si>
    <t>14,20</t>
  </si>
  <si>
    <t>6,42</t>
  </si>
  <si>
    <t>1,87</t>
  </si>
  <si>
    <t>9,0</t>
  </si>
  <si>
    <t>19,50</t>
  </si>
  <si>
    <t>6,49</t>
  </si>
  <si>
    <t>2,01</t>
  </si>
  <si>
    <t>2,00</t>
  </si>
  <si>
    <t>20,70</t>
  </si>
  <si>
    <t>7,24</t>
  </si>
  <si>
    <t>2,04</t>
  </si>
  <si>
    <t>22,20</t>
  </si>
  <si>
    <t>7,32</t>
  </si>
  <si>
    <t>2,18</t>
  </si>
  <si>
    <t>9,5</t>
  </si>
  <si>
    <t>4,0</t>
  </si>
  <si>
    <t>23,40</t>
  </si>
  <si>
    <t>8,07</t>
  </si>
  <si>
    <t>2,20</t>
  </si>
  <si>
    <t>10,0</t>
  </si>
  <si>
    <t>26,70</t>
  </si>
  <si>
    <t>8,89</t>
  </si>
  <si>
    <t>2,37</t>
  </si>
  <si>
    <t>10,5</t>
  </si>
  <si>
    <t>30,60</t>
  </si>
  <si>
    <t>9,73</t>
  </si>
  <si>
    <t>2,60</t>
  </si>
  <si>
    <t>11,0</t>
  </si>
  <si>
    <t>35,20</t>
  </si>
  <si>
    <t>2,73</t>
  </si>
  <si>
    <t>12,0</t>
  </si>
  <si>
    <t>40,50</t>
  </si>
  <si>
    <t>12,00</t>
  </si>
  <si>
    <t>2,84</t>
  </si>
  <si>
    <t>13,0</t>
  </si>
  <si>
    <t>46,50</t>
  </si>
  <si>
    <t>13,10</t>
  </si>
  <si>
    <t>2,97</t>
  </si>
  <si>
    <t>14,0</t>
  </si>
  <si>
    <t>53,40</t>
  </si>
  <si>
    <t>3,10</t>
  </si>
  <si>
    <t>61,50</t>
  </si>
  <si>
    <t>15,70</t>
  </si>
  <si>
    <t>3,23</t>
  </si>
  <si>
    <t>№ Швеллера</t>
  </si>
  <si>
    <t>h</t>
  </si>
  <si>
    <t>b</t>
  </si>
  <si>
    <t>s</t>
  </si>
  <si>
    <t>t</t>
  </si>
  <si>
    <t>R</t>
  </si>
  <si>
    <t>r</t>
  </si>
  <si>
    <r>
      <t>Площадь сечения, F, см</t>
    </r>
    <r>
      <rPr>
        <sz val="11"/>
        <color theme="1"/>
        <rFont val="Calibri"/>
        <family val="2"/>
        <charset val="204"/>
      </rPr>
      <t>²</t>
    </r>
  </si>
  <si>
    <t>Масса 1 м, кг</t>
  </si>
  <si>
    <t>Справочные значения осей</t>
  </si>
  <si>
    <t>X-X</t>
  </si>
  <si>
    <t>Y-Y</t>
  </si>
  <si>
    <t>Xo, см</t>
  </si>
  <si>
    <t>не более</t>
  </si>
  <si>
    <r>
      <t>I</t>
    </r>
    <r>
      <rPr>
        <vertAlign val="subscript"/>
        <sz val="10"/>
        <color theme="1"/>
        <rFont val="Times New Roman"/>
        <family val="1"/>
        <charset val="204"/>
      </rPr>
      <t>x</t>
    </r>
    <r>
      <rPr>
        <sz val="10"/>
        <color theme="1"/>
        <rFont val="Times New Roman"/>
        <family val="1"/>
        <charset val="204"/>
      </rPr>
      <t>, см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</si>
  <si>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W</t>
    </r>
    <r>
      <rPr>
        <vertAlign val="subscript"/>
        <sz val="10"/>
        <color theme="1"/>
        <rFont val="Times New Roman"/>
        <family val="1"/>
        <charset val="204"/>
      </rPr>
      <t>x</t>
    </r>
    <r>
      <rPr>
        <sz val="10"/>
        <color theme="1"/>
        <rFont val="Times New Roman"/>
        <family val="1"/>
        <charset val="204"/>
      </rPr>
      <t>, см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</si>
  <si>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i</t>
    </r>
    <r>
      <rPr>
        <vertAlign val="subscript"/>
        <sz val="10"/>
        <color theme="1"/>
        <rFont val="Times New Roman"/>
        <family val="1"/>
        <charset val="204"/>
      </rPr>
      <t>x</t>
    </r>
    <r>
      <rPr>
        <sz val="10"/>
        <color theme="1"/>
        <rFont val="Times New Roman"/>
        <family val="1"/>
        <charset val="204"/>
      </rPr>
      <t>, см</t>
    </r>
  </si>
  <si>
    <r>
      <t>S</t>
    </r>
    <r>
      <rPr>
        <vertAlign val="subscript"/>
        <sz val="10"/>
        <color theme="1"/>
        <rFont val="Times New Roman"/>
        <family val="1"/>
        <charset val="204"/>
      </rPr>
      <t>x</t>
    </r>
    <r>
      <rPr>
        <sz val="10"/>
        <color theme="1"/>
        <rFont val="Times New Roman"/>
        <family val="1"/>
        <charset val="204"/>
      </rPr>
      <t>, см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</si>
  <si>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I</t>
    </r>
    <r>
      <rPr>
        <vertAlign val="subscript"/>
        <sz val="10"/>
        <color theme="1"/>
        <rFont val="Times New Roman"/>
        <family val="1"/>
        <charset val="204"/>
      </rPr>
      <t>y</t>
    </r>
    <r>
      <rPr>
        <sz val="10"/>
        <color theme="1"/>
        <rFont val="Times New Roman"/>
        <family val="1"/>
        <charset val="204"/>
      </rPr>
      <t>, см</t>
    </r>
    <r>
      <rPr>
        <vertAlign val="superscript"/>
        <sz val="10"/>
        <color theme="1"/>
        <rFont val="Times New Roman"/>
        <family val="1"/>
        <charset val="204"/>
      </rPr>
      <t xml:space="preserve">4   </t>
    </r>
  </si>
  <si>
    <r>
      <t>W</t>
    </r>
    <r>
      <rPr>
        <vertAlign val="subscript"/>
        <sz val="10"/>
        <color theme="1"/>
        <rFont val="Times New Roman"/>
        <family val="1"/>
        <charset val="204"/>
      </rPr>
      <t>y</t>
    </r>
    <r>
      <rPr>
        <sz val="10"/>
        <color theme="1"/>
        <rFont val="Times New Roman"/>
        <family val="1"/>
        <charset val="204"/>
      </rPr>
      <t>, см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 </t>
    </r>
  </si>
  <si>
    <r>
      <t>i</t>
    </r>
    <r>
      <rPr>
        <vertAlign val="sub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, см </t>
    </r>
  </si>
  <si>
    <t>5П</t>
  </si>
  <si>
    <t>2,99</t>
  </si>
  <si>
    <t>0,98</t>
  </si>
  <si>
    <t>6,5П</t>
  </si>
  <si>
    <t>2,55</t>
  </si>
  <si>
    <t>1,12</t>
  </si>
  <si>
    <t>8П</t>
  </si>
  <si>
    <t>10П</t>
  </si>
  <si>
    <t>12П</t>
  </si>
  <si>
    <t>4,79</t>
  </si>
  <si>
    <t>1,62</t>
  </si>
  <si>
    <t>14П</t>
  </si>
  <si>
    <t>1,81</t>
  </si>
  <si>
    <t>16П</t>
  </si>
  <si>
    <t>6,44</t>
  </si>
  <si>
    <t>16аП</t>
  </si>
  <si>
    <t>6,51</t>
  </si>
  <si>
    <t>2,15</t>
  </si>
  <si>
    <t>18П</t>
  </si>
  <si>
    <t>7,26</t>
  </si>
  <si>
    <t>18аП</t>
  </si>
  <si>
    <t>7,34</t>
  </si>
  <si>
    <t>2,35</t>
  </si>
  <si>
    <t>5,5</t>
  </si>
  <si>
    <t>8,08</t>
  </si>
  <si>
    <t>2,39</t>
  </si>
  <si>
    <t>22П</t>
  </si>
  <si>
    <t>8,90</t>
  </si>
  <si>
    <t>2,58</t>
  </si>
  <si>
    <t>24П</t>
  </si>
  <si>
    <t>9,75</t>
  </si>
  <si>
    <t>2,85</t>
  </si>
  <si>
    <t>27П</t>
  </si>
  <si>
    <t>30П</t>
  </si>
  <si>
    <t>3,12</t>
  </si>
  <si>
    <t>33П</t>
  </si>
  <si>
    <t>3,25</t>
  </si>
  <si>
    <t>36П</t>
  </si>
  <si>
    <t>14,30</t>
  </si>
  <si>
    <t>3,38</t>
  </si>
  <si>
    <t>40П</t>
  </si>
  <si>
    <t>15,80</t>
  </si>
  <si>
    <t>3,51</t>
  </si>
  <si>
    <t>Закрепление прогона шарнирное с 2-х сторон без использоваия тяжей</t>
  </si>
  <si>
    <t>№ профиля согласно ГОСТ 8240-97</t>
  </si>
  <si>
    <t>Угол наклона профиля, градусов</t>
  </si>
  <si>
    <t>Максимальная допустимая нагрузка на один прогон при длине пролета 6 м, без устройства тяжей при равномерно-распределенной нагрузке в кг/м.п. (Ry=240 МПа)</t>
  </si>
  <si>
    <t>Закрепление прогона шарнирное с 2-х сторон с одним тяжем, делящий прогон на 2-е равные части</t>
  </si>
  <si>
    <t>Для балки с шарнирным закрепленией по обоим сторонам и равномерно-распределенной нагрузкой, максимальный момент Мx и сила Qx находятся по следующим формулам:</t>
  </si>
  <si>
    <t>Для балки с шарнирным закрепленией по обоим сторонам, равномерно-распределенной нагрузкой и тяжами, разделяющими балку на 2-е равные части, максимальный момент Мy и сила Qy находятся по следующим формулам:</t>
  </si>
  <si>
    <t>Закрепление прогона шарнирное с 2-х сторон с двумя тяжами, делящий прогон на 3-и равные части</t>
  </si>
  <si>
    <t>Для балки с шарнирным закрепленией по обоим сторонам, равномерно-распределенной нагрузкой и тяжами, разделяющими балку на 3-и равные части, максимальный момент Мy и сила Qy находятся по следующим формулам:</t>
  </si>
  <si>
    <t>В середине пролета:</t>
  </si>
  <si>
    <t>(в середине пролета)</t>
  </si>
  <si>
    <t xml:space="preserve">   (в середине пролета)</t>
  </si>
  <si>
    <t>(в точке крепления тяжа)</t>
  </si>
  <si>
    <t>(в точках опоры балки)</t>
  </si>
  <si>
    <t>(в точке опоры балки)</t>
  </si>
  <si>
    <t>(в середине пролета балки)</t>
  </si>
  <si>
    <t>Максимальная допустимая нагрузка на один прогон при длине пролета 6 м, с тяжем делящим прогон на 2-е равные части при равномерно-распределенной нагрузке в кг/м.п. (Ry=240 МПа)</t>
  </si>
  <si>
    <t>В точке крепления тяжа:</t>
  </si>
  <si>
    <t>Максимальная допустимая нагрузка на один прогон при длине пролета 6 м, с двумя тяжами делящими прогон на 3-и равные части при равномерно-распределенной нагрузке в кг/м.п. (Ry=240 МПа)</t>
  </si>
  <si>
    <r>
      <t>x</t>
    </r>
    <r>
      <rPr>
        <vertAlign val="subscript"/>
        <sz val="14"/>
        <color theme="1"/>
        <rFont val="Times New Roman"/>
        <family val="1"/>
        <charset val="204"/>
      </rPr>
      <t>a</t>
    </r>
  </si>
  <si>
    <t>см</t>
  </si>
  <si>
    <r>
      <t>J</t>
    </r>
    <r>
      <rPr>
        <vertAlign val="subscript"/>
        <sz val="14"/>
        <color theme="1"/>
        <rFont val="Times New Roman"/>
        <family val="1"/>
        <charset val="204"/>
      </rPr>
      <t>ω</t>
    </r>
  </si>
  <si>
    <r>
      <t>ω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</si>
  <si>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ω</t>
    </r>
    <r>
      <rPr>
        <vertAlign val="subscript"/>
        <sz val="14"/>
        <color theme="1"/>
        <rFont val="Times New Roman"/>
        <family val="1"/>
        <charset val="204"/>
      </rPr>
      <t>2</t>
    </r>
  </si>
  <si>
    <r>
      <t>W</t>
    </r>
    <r>
      <rPr>
        <vertAlign val="subscript"/>
        <sz val="14"/>
        <color theme="1"/>
        <rFont val="Times New Roman"/>
        <family val="1"/>
        <charset val="204"/>
      </rPr>
      <t>ω1</t>
    </r>
  </si>
  <si>
    <r>
      <t>W</t>
    </r>
    <r>
      <rPr>
        <vertAlign val="subscript"/>
        <sz val="14"/>
        <color theme="1"/>
        <rFont val="Times New Roman"/>
        <family val="1"/>
        <charset val="204"/>
      </rPr>
      <t>ω2</t>
    </r>
  </si>
  <si>
    <r>
      <t>J</t>
    </r>
    <r>
      <rPr>
        <vertAlign val="subscript"/>
        <sz val="14"/>
        <color theme="1"/>
        <rFont val="Times New Roman"/>
        <family val="1"/>
        <charset val="204"/>
      </rPr>
      <t>t</t>
    </r>
  </si>
  <si>
    <r>
      <t>см</t>
    </r>
    <r>
      <rPr>
        <vertAlign val="superscript"/>
        <sz val="14"/>
        <color theme="1"/>
        <rFont val="Times New Roman"/>
        <family val="1"/>
        <charset val="204"/>
      </rPr>
      <t>6</t>
    </r>
  </si>
  <si>
    <r>
      <t>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</si>
  <si>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см</t>
    </r>
    <r>
      <rPr>
        <vertAlign val="superscript"/>
        <sz val="14"/>
        <color theme="1"/>
        <rFont val="Times New Roman"/>
        <family val="1"/>
        <charset val="204"/>
      </rPr>
      <t>4</t>
    </r>
  </si>
  <si>
    <r>
      <t>см</t>
    </r>
    <r>
      <rPr>
        <vertAlign val="superscript"/>
        <sz val="14"/>
        <color theme="1"/>
        <rFont val="Times New Roman"/>
        <family val="1"/>
        <charset val="204"/>
      </rPr>
      <t>-1</t>
    </r>
  </si>
  <si>
    <t>Таблица сделана на основе руководства по подбору сечений элементов строительных стальных конструкций</t>
  </si>
  <si>
    <t>-</t>
  </si>
  <si>
    <t>Прочер означает что по этому профилю нет данных</t>
  </si>
  <si>
    <t xml:space="preserve">В данной программе расчитывается прогон с учетом бимомента на скатной кровле.  </t>
  </si>
  <si>
    <t>1. Расчет на изгиб</t>
  </si>
  <si>
    <t>2. Расчет на поперечную силу</t>
  </si>
  <si>
    <t xml:space="preserve">Расчет поперечной силы производим по формуле </t>
  </si>
  <si>
    <r>
      <t>Момент инерции сечения (Ix), см</t>
    </r>
    <r>
      <rPr>
        <vertAlign val="superscript"/>
        <sz val="12"/>
        <color theme="1"/>
        <rFont val="Arial Narrow"/>
        <family val="2"/>
        <charset val="204"/>
      </rPr>
      <t>4</t>
    </r>
  </si>
  <si>
    <r>
      <t>Толщина стенки (t</t>
    </r>
    <r>
      <rPr>
        <vertAlign val="subscript"/>
        <sz val="12"/>
        <color theme="1"/>
        <rFont val="Arial Narrow"/>
        <family val="2"/>
        <charset val="204"/>
      </rPr>
      <t>w</t>
    </r>
    <r>
      <rPr>
        <sz val="12"/>
        <color theme="1"/>
        <rFont val="Arial Narrow"/>
        <family val="2"/>
        <charset val="204"/>
      </rPr>
      <t>),мм</t>
    </r>
  </si>
  <si>
    <t>Cтатический момент сдвигаемой части сечения (S), см³</t>
  </si>
  <si>
    <t>3. Расчет стенки балки в опорном сечении</t>
  </si>
  <si>
    <t>Расчет стенки балки, не укрепленной ребрами жесткости, производим по формуле</t>
  </si>
  <si>
    <t>где</t>
  </si>
  <si>
    <t>=</t>
  </si>
  <si>
    <t>МПа</t>
  </si>
  <si>
    <r>
      <t>при l</t>
    </r>
    <r>
      <rPr>
        <vertAlign val="subscript"/>
        <sz val="12"/>
        <color theme="1"/>
        <rFont val="Arial Narrow"/>
        <family val="2"/>
        <charset val="204"/>
      </rPr>
      <t xml:space="preserve">ef </t>
    </r>
    <r>
      <rPr>
        <sz val="12"/>
        <color theme="1"/>
        <rFont val="Arial Narrow"/>
        <family val="2"/>
        <charset val="204"/>
      </rPr>
      <t>=</t>
    </r>
  </si>
  <si>
    <t>(длина опирания прогона на балку)</t>
  </si>
  <si>
    <t>4. Расчет на прочность в опорном сечении</t>
  </si>
  <si>
    <t>Расчетное сопротивление стали на сдвиг (Rs), Мпа</t>
  </si>
  <si>
    <t>Расчет на прочность в опорном сечение производится по формулам:</t>
  </si>
  <si>
    <t>и</t>
  </si>
  <si>
    <r>
      <t>где A</t>
    </r>
    <r>
      <rPr>
        <vertAlign val="subscript"/>
        <sz val="12"/>
        <color theme="1"/>
        <rFont val="Arial Narrow"/>
        <family val="2"/>
        <charset val="204"/>
      </rPr>
      <t>w</t>
    </r>
    <r>
      <rPr>
        <sz val="12"/>
        <color theme="1"/>
        <rFont val="Arial Narrow"/>
        <family val="2"/>
        <charset val="204"/>
      </rPr>
      <t xml:space="preserve"> - площадь стенки, A</t>
    </r>
    <r>
      <rPr>
        <vertAlign val="subscript"/>
        <sz val="12"/>
        <color theme="1"/>
        <rFont val="Arial Narrow"/>
        <family val="2"/>
        <charset val="204"/>
      </rPr>
      <t>f</t>
    </r>
    <r>
      <rPr>
        <sz val="12"/>
        <color theme="1"/>
        <rFont val="Arial Narrow"/>
        <family val="2"/>
        <charset val="204"/>
      </rPr>
      <t xml:space="preserve"> - площадь полки</t>
    </r>
  </si>
  <si>
    <t>Толщина полки (t),мм</t>
  </si>
  <si>
    <t>5. Расчет на устойчивость</t>
  </si>
  <si>
    <t>Согласно п. 8.4.4 СП 16.13330.2011 устойчивость прогонов можно считать обеспеченной при передаче нагрузки через жесткий настил</t>
  </si>
  <si>
    <t>6. Расчет прогиба прогона</t>
  </si>
  <si>
    <t>Предельный прогиб определяется согдасно приложению Е СП 20.13330.2011</t>
  </si>
  <si>
    <t>м</t>
  </si>
  <si>
    <t>l</t>
  </si>
  <si>
    <r>
      <t>f</t>
    </r>
    <r>
      <rPr>
        <vertAlign val="subscript"/>
        <sz val="12"/>
        <color theme="1"/>
        <rFont val="Arial Narrow"/>
        <family val="2"/>
        <charset val="204"/>
      </rPr>
      <t>u</t>
    </r>
    <r>
      <rPr>
        <sz val="12"/>
        <color theme="1"/>
        <rFont val="Arial Narrow"/>
        <family val="2"/>
        <charset val="204"/>
      </rPr>
      <t>=</t>
    </r>
  </si>
  <si>
    <t>требуемый максимальный прогиб для нашей балки вычисляется по формуле:</t>
  </si>
  <si>
    <t>фактический максимальный прогиб вычисляется по формуле:</t>
  </si>
  <si>
    <r>
      <t>Расчетная снеговая нагрузка (q</t>
    </r>
    <r>
      <rPr>
        <vertAlign val="subscript"/>
        <sz val="12"/>
        <color theme="1"/>
        <rFont val="Arial Narrow"/>
        <family val="2"/>
        <charset val="204"/>
      </rPr>
      <t>сн</t>
    </r>
    <r>
      <rPr>
        <sz val="12"/>
        <color theme="1"/>
        <rFont val="Arial Narrow"/>
        <family val="2"/>
        <charset val="204"/>
      </rPr>
      <t>*a), кг/м</t>
    </r>
    <r>
      <rPr>
        <sz val="12"/>
        <color theme="1"/>
        <rFont val="Calibri"/>
        <family val="2"/>
        <charset val="204"/>
      </rPr>
      <t>²</t>
    </r>
  </si>
  <si>
    <r>
      <t>где q</t>
    </r>
    <r>
      <rPr>
        <vertAlign val="subscript"/>
        <sz val="12"/>
        <color theme="1"/>
        <rFont val="Arial Narrow"/>
        <family val="2"/>
        <charset val="204"/>
      </rPr>
      <t>н</t>
    </r>
    <r>
      <rPr>
        <sz val="12"/>
        <color theme="1"/>
        <rFont val="Arial Narrow"/>
        <family val="2"/>
        <charset val="204"/>
      </rPr>
      <t xml:space="preserve"> - это нормативная нагрузка, она меньше расчетной нагрузки на величину коэффициента надежности по нагрузке</t>
    </r>
  </si>
  <si>
    <t>Требуемый максимальный прогиб для нашей балки вычисляется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</si>
</sst>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2.85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vertAlign val="superscript"/>
      <sz val="12"/>
      <color theme="1"/>
      <name val="Arial Narrow"/>
      <family val="2"/>
      <charset val="204"/>
    </font>
    <font>
      <vertAlign val="subscript"/>
      <sz val="12"/>
      <color theme="1"/>
      <name val="Arial Narrow"/>
      <family val="2"/>
      <charset val="204"/>
    </font>
    <font>
      <vertAlign val="superscript"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vertAlign val="subscript"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/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5" xfId="0" applyFont="1" applyBorder="1"/>
    <xf numFmtId="0" fontId="0" fillId="0" borderId="0" xfId="0" applyBorder="1"/>
    <xf numFmtId="0" fontId="1" fillId="0" borderId="15" xfId="0" applyFont="1" applyBorder="1"/>
    <xf numFmtId="0" fontId="1" fillId="0" borderId="0" xfId="0" applyFont="1" applyAlignment="1">
      <alignment horizontal="right"/>
    </xf>
    <xf numFmtId="0" fontId="0" fillId="0" borderId="4" xfId="0" applyBorder="1"/>
    <xf numFmtId="0" fontId="8" fillId="0" borderId="4" xfId="0" applyFont="1" applyBorder="1"/>
    <xf numFmtId="0" fontId="0" fillId="0" borderId="2" xfId="0" applyFill="1" applyBorder="1"/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1" fillId="0" borderId="25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</a:t>
            </a:r>
            <a:r>
              <a:rPr lang="ru-RU" baseline="0"/>
              <a:t> для определения коэфициента для расчета бимомента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</c:v>
          </c:tx>
          <c:marker>
            <c:symbol val="none"/>
          </c:marker>
          <c:dLbls>
            <c:delete val="1"/>
          </c:dLbls>
          <c:xVal>
            <c:numRef>
              <c:f>'Приложение Б. Бычков'!$A$2:$A$34</c:f>
              <c:numCache>
                <c:formatCode>General</c:formatCode>
                <c:ptCount val="3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</c:numCache>
            </c:numRef>
          </c:xVal>
          <c:yVal>
            <c:numRef>
              <c:f>'Приложение Б. Бычков'!$B$2:$B$34</c:f>
              <c:numCache>
                <c:formatCode>General</c:formatCode>
                <c:ptCount val="33"/>
                <c:pt idx="0">
                  <c:v>12.5</c:v>
                </c:pt>
                <c:pt idx="1">
                  <c:v>12.2</c:v>
                </c:pt>
                <c:pt idx="2">
                  <c:v>11.5</c:v>
                </c:pt>
                <c:pt idx="3">
                  <c:v>10.3</c:v>
                </c:pt>
                <c:pt idx="4">
                  <c:v>9</c:v>
                </c:pt>
                <c:pt idx="5">
                  <c:v>7.7</c:v>
                </c:pt>
                <c:pt idx="6">
                  <c:v>6.65</c:v>
                </c:pt>
                <c:pt idx="7">
                  <c:v>5.6</c:v>
                </c:pt>
                <c:pt idx="8">
                  <c:v>4.7</c:v>
                </c:pt>
                <c:pt idx="9">
                  <c:v>4</c:v>
                </c:pt>
                <c:pt idx="10">
                  <c:v>3.4</c:v>
                </c:pt>
                <c:pt idx="11">
                  <c:v>2.9</c:v>
                </c:pt>
                <c:pt idx="12">
                  <c:v>2.5</c:v>
                </c:pt>
                <c:pt idx="13">
                  <c:v>2.2000000000000002</c:v>
                </c:pt>
                <c:pt idx="14">
                  <c:v>1.9</c:v>
                </c:pt>
                <c:pt idx="15">
                  <c:v>1.65</c:v>
                </c:pt>
                <c:pt idx="16">
                  <c:v>1.45</c:v>
                </c:pt>
                <c:pt idx="17">
                  <c:v>1.3</c:v>
                </c:pt>
                <c:pt idx="18">
                  <c:v>1.2</c:v>
                </c:pt>
                <c:pt idx="19">
                  <c:v>1.1000000000000001</c:v>
                </c:pt>
                <c:pt idx="20">
                  <c:v>1</c:v>
                </c:pt>
                <c:pt idx="21">
                  <c:v>0.9</c:v>
                </c:pt>
                <c:pt idx="22">
                  <c:v>0.8</c:v>
                </c:pt>
                <c:pt idx="23">
                  <c:v>0.73</c:v>
                </c:pt>
                <c:pt idx="24">
                  <c:v>0.68</c:v>
                </c:pt>
                <c:pt idx="25">
                  <c:v>0.57999999999999996</c:v>
                </c:pt>
                <c:pt idx="26">
                  <c:v>0.5</c:v>
                </c:pt>
                <c:pt idx="27">
                  <c:v>0.43</c:v>
                </c:pt>
                <c:pt idx="28">
                  <c:v>0.4</c:v>
                </c:pt>
                <c:pt idx="29">
                  <c:v>0.37</c:v>
                </c:pt>
                <c:pt idx="30">
                  <c:v>0.34</c:v>
                </c:pt>
                <c:pt idx="31">
                  <c:v>0.32</c:v>
                </c:pt>
                <c:pt idx="32">
                  <c:v>0.3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868168"/>
        <c:axId val="131560472"/>
      </c:scatterChart>
      <c:valAx>
        <c:axId val="131868168"/>
        <c:scaling>
          <c:orientation val="minMax"/>
          <c:max val="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Rl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1560472"/>
        <c:crosses val="autoZero"/>
        <c:crossBetween val="midCat"/>
        <c:majorUnit val="1"/>
      </c:valAx>
      <c:valAx>
        <c:axId val="131560472"/>
        <c:scaling>
          <c:orientation val="minMax"/>
          <c:max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>
                    <a:latin typeface="Calibri"/>
                    <a:cs typeface="Calibri"/>
                  </a:rPr>
                  <a:t>α</a:t>
                </a: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18681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image" Target="../media/image2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jpeg"/><Relationship Id="rId2" Type="http://schemas.openxmlformats.org/officeDocument/2006/relationships/image" Target="../media/image26.jpeg"/><Relationship Id="rId1" Type="http://schemas.openxmlformats.org/officeDocument/2006/relationships/image" Target="../media/image21.jpg"/><Relationship Id="rId4" Type="http://schemas.openxmlformats.org/officeDocument/2006/relationships/image" Target="../media/image28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jpeg"/><Relationship Id="rId2" Type="http://schemas.openxmlformats.org/officeDocument/2006/relationships/image" Target="../media/image22.jpeg"/><Relationship Id="rId1" Type="http://schemas.openxmlformats.org/officeDocument/2006/relationships/image" Target="../media/image21.jpg"/><Relationship Id="rId4" Type="http://schemas.openxmlformats.org/officeDocument/2006/relationships/image" Target="../media/image35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jpeg"/><Relationship Id="rId2" Type="http://schemas.openxmlformats.org/officeDocument/2006/relationships/image" Target="../media/image49.jpg"/><Relationship Id="rId1" Type="http://schemas.openxmlformats.org/officeDocument/2006/relationships/image" Target="../media/image48.jpeg"/><Relationship Id="rId4" Type="http://schemas.openxmlformats.org/officeDocument/2006/relationships/image" Target="../media/image5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e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e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e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e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wmf"/><Relationship Id="rId13" Type="http://schemas.openxmlformats.org/officeDocument/2006/relationships/image" Target="../media/image17.emf"/><Relationship Id="rId18" Type="http://schemas.openxmlformats.org/officeDocument/2006/relationships/image" Target="../media/image13.wmf"/><Relationship Id="rId3" Type="http://schemas.openxmlformats.org/officeDocument/2006/relationships/image" Target="../media/image4.wmf"/><Relationship Id="rId21" Type="http://schemas.openxmlformats.org/officeDocument/2006/relationships/image" Target="../media/image16.wmf"/><Relationship Id="rId7" Type="http://schemas.openxmlformats.org/officeDocument/2006/relationships/image" Target="../media/image9.wmf"/><Relationship Id="rId12" Type="http://schemas.openxmlformats.org/officeDocument/2006/relationships/image" Target="../media/image11.wmf"/><Relationship Id="rId17" Type="http://schemas.openxmlformats.org/officeDocument/2006/relationships/image" Target="../media/image12.wmf"/><Relationship Id="rId2" Type="http://schemas.openxmlformats.org/officeDocument/2006/relationships/image" Target="../media/image2.wmf"/><Relationship Id="rId16" Type="http://schemas.openxmlformats.org/officeDocument/2006/relationships/image" Target="../media/image20.emf"/><Relationship Id="rId20" Type="http://schemas.openxmlformats.org/officeDocument/2006/relationships/image" Target="../media/image15.wmf"/><Relationship Id="rId1" Type="http://schemas.openxmlformats.org/officeDocument/2006/relationships/image" Target="../media/image1.wmf"/><Relationship Id="rId6" Type="http://schemas.openxmlformats.org/officeDocument/2006/relationships/image" Target="../media/image8.wmf"/><Relationship Id="rId11" Type="http://schemas.openxmlformats.org/officeDocument/2006/relationships/image" Target="../media/image25.wmf"/><Relationship Id="rId5" Type="http://schemas.openxmlformats.org/officeDocument/2006/relationships/image" Target="../media/image6.wmf"/><Relationship Id="rId15" Type="http://schemas.openxmlformats.org/officeDocument/2006/relationships/image" Target="../media/image19.emf"/><Relationship Id="rId10" Type="http://schemas.openxmlformats.org/officeDocument/2006/relationships/image" Target="../media/image24.wmf"/><Relationship Id="rId19" Type="http://schemas.openxmlformats.org/officeDocument/2006/relationships/image" Target="../media/image14.wmf"/><Relationship Id="rId4" Type="http://schemas.openxmlformats.org/officeDocument/2006/relationships/image" Target="../media/image5.wmf"/><Relationship Id="rId9" Type="http://schemas.openxmlformats.org/officeDocument/2006/relationships/image" Target="../media/image23.wmf"/><Relationship Id="rId14" Type="http://schemas.openxmlformats.org/officeDocument/2006/relationships/image" Target="../media/image18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wmf"/><Relationship Id="rId13" Type="http://schemas.openxmlformats.org/officeDocument/2006/relationships/image" Target="../media/image8.wmf"/><Relationship Id="rId18" Type="http://schemas.openxmlformats.org/officeDocument/2006/relationships/image" Target="../media/image20.emf"/><Relationship Id="rId3" Type="http://schemas.openxmlformats.org/officeDocument/2006/relationships/image" Target="../media/image4.wmf"/><Relationship Id="rId21" Type="http://schemas.openxmlformats.org/officeDocument/2006/relationships/image" Target="../media/image14.wmf"/><Relationship Id="rId7" Type="http://schemas.openxmlformats.org/officeDocument/2006/relationships/image" Target="../media/image10.wmf"/><Relationship Id="rId12" Type="http://schemas.openxmlformats.org/officeDocument/2006/relationships/image" Target="../media/image33.wmf"/><Relationship Id="rId17" Type="http://schemas.openxmlformats.org/officeDocument/2006/relationships/image" Target="../media/image19.emf"/><Relationship Id="rId2" Type="http://schemas.openxmlformats.org/officeDocument/2006/relationships/image" Target="../media/image2.wmf"/><Relationship Id="rId16" Type="http://schemas.openxmlformats.org/officeDocument/2006/relationships/image" Target="../media/image18.emf"/><Relationship Id="rId20" Type="http://schemas.openxmlformats.org/officeDocument/2006/relationships/image" Target="../media/image13.wmf"/><Relationship Id="rId1" Type="http://schemas.openxmlformats.org/officeDocument/2006/relationships/image" Target="../media/image1.wmf"/><Relationship Id="rId6" Type="http://schemas.openxmlformats.org/officeDocument/2006/relationships/image" Target="../media/image9.wmf"/><Relationship Id="rId11" Type="http://schemas.openxmlformats.org/officeDocument/2006/relationships/image" Target="../media/image32.wmf"/><Relationship Id="rId5" Type="http://schemas.openxmlformats.org/officeDocument/2006/relationships/image" Target="../media/image6.wmf"/><Relationship Id="rId15" Type="http://schemas.openxmlformats.org/officeDocument/2006/relationships/image" Target="../media/image17.emf"/><Relationship Id="rId23" Type="http://schemas.openxmlformats.org/officeDocument/2006/relationships/image" Target="../media/image16.wmf"/><Relationship Id="rId10" Type="http://schemas.openxmlformats.org/officeDocument/2006/relationships/image" Target="../media/image31.wmf"/><Relationship Id="rId19" Type="http://schemas.openxmlformats.org/officeDocument/2006/relationships/image" Target="../media/image12.wmf"/><Relationship Id="rId4" Type="http://schemas.openxmlformats.org/officeDocument/2006/relationships/image" Target="../media/image5.wmf"/><Relationship Id="rId9" Type="http://schemas.openxmlformats.org/officeDocument/2006/relationships/image" Target="../media/image30.wmf"/><Relationship Id="rId14" Type="http://schemas.openxmlformats.org/officeDocument/2006/relationships/image" Target="../media/image11.wmf"/><Relationship Id="rId22" Type="http://schemas.openxmlformats.org/officeDocument/2006/relationships/image" Target="../media/image15.w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39.wmf"/><Relationship Id="rId13" Type="http://schemas.openxmlformats.org/officeDocument/2006/relationships/image" Target="../media/image44.wmf"/><Relationship Id="rId18" Type="http://schemas.openxmlformats.org/officeDocument/2006/relationships/image" Target="../media/image11.wmf"/><Relationship Id="rId26" Type="http://schemas.openxmlformats.org/officeDocument/2006/relationships/image" Target="../media/image15.wmf"/><Relationship Id="rId3" Type="http://schemas.openxmlformats.org/officeDocument/2006/relationships/image" Target="../media/image6.wmf"/><Relationship Id="rId21" Type="http://schemas.openxmlformats.org/officeDocument/2006/relationships/image" Target="../media/image19.emf"/><Relationship Id="rId7" Type="http://schemas.openxmlformats.org/officeDocument/2006/relationships/image" Target="../media/image38.wmf"/><Relationship Id="rId12" Type="http://schemas.openxmlformats.org/officeDocument/2006/relationships/image" Target="../media/image43.wmf"/><Relationship Id="rId17" Type="http://schemas.openxmlformats.org/officeDocument/2006/relationships/image" Target="../media/image7.wmf"/><Relationship Id="rId25" Type="http://schemas.openxmlformats.org/officeDocument/2006/relationships/image" Target="../media/image14.wmf"/><Relationship Id="rId2" Type="http://schemas.openxmlformats.org/officeDocument/2006/relationships/image" Target="../media/image4.wmf"/><Relationship Id="rId16" Type="http://schemas.openxmlformats.org/officeDocument/2006/relationships/image" Target="../media/image47.wmf"/><Relationship Id="rId20" Type="http://schemas.openxmlformats.org/officeDocument/2006/relationships/image" Target="../media/image18.emf"/><Relationship Id="rId1" Type="http://schemas.openxmlformats.org/officeDocument/2006/relationships/image" Target="../media/image1.wmf"/><Relationship Id="rId6" Type="http://schemas.openxmlformats.org/officeDocument/2006/relationships/image" Target="../media/image37.wmf"/><Relationship Id="rId11" Type="http://schemas.openxmlformats.org/officeDocument/2006/relationships/image" Target="../media/image42.wmf"/><Relationship Id="rId24" Type="http://schemas.openxmlformats.org/officeDocument/2006/relationships/image" Target="../media/image13.wmf"/><Relationship Id="rId5" Type="http://schemas.openxmlformats.org/officeDocument/2006/relationships/image" Target="../media/image36.wmf"/><Relationship Id="rId15" Type="http://schemas.openxmlformats.org/officeDocument/2006/relationships/image" Target="../media/image46.wmf"/><Relationship Id="rId23" Type="http://schemas.openxmlformats.org/officeDocument/2006/relationships/image" Target="../media/image12.wmf"/><Relationship Id="rId10" Type="http://schemas.openxmlformats.org/officeDocument/2006/relationships/image" Target="../media/image41.wmf"/><Relationship Id="rId19" Type="http://schemas.openxmlformats.org/officeDocument/2006/relationships/image" Target="../media/image17.emf"/><Relationship Id="rId4" Type="http://schemas.openxmlformats.org/officeDocument/2006/relationships/image" Target="../media/image8.wmf"/><Relationship Id="rId9" Type="http://schemas.openxmlformats.org/officeDocument/2006/relationships/image" Target="../media/image40.wmf"/><Relationship Id="rId14" Type="http://schemas.openxmlformats.org/officeDocument/2006/relationships/image" Target="../media/image45.wmf"/><Relationship Id="rId22" Type="http://schemas.openxmlformats.org/officeDocument/2006/relationships/image" Target="../media/image20.emf"/><Relationship Id="rId27" Type="http://schemas.openxmlformats.org/officeDocument/2006/relationships/image" Target="../media/image16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187476</xdr:colOff>
      <xdr:row>3</xdr:row>
      <xdr:rowOff>34184</xdr:rowOff>
    </xdr:from>
    <xdr:to>
      <xdr:col>6</xdr:col>
      <xdr:colOff>1927258</xdr:colOff>
      <xdr:row>7</xdr:row>
      <xdr:rowOff>84978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3948" y="835352"/>
          <a:ext cx="1739782" cy="2525514"/>
        </a:xfrm>
        <a:prstGeom prst="rect">
          <a:avLst/>
        </a:prstGeom>
      </xdr:spPr>
    </xdr:pic>
    <xdr:clientData/>
  </xdr:twoCellAnchor>
  <xdr:twoCellAnchor editAs="oneCell">
    <xdr:from>
      <xdr:col>1</xdr:col>
      <xdr:colOff>8903</xdr:colOff>
      <xdr:row>43</xdr:row>
      <xdr:rowOff>21214</xdr:rowOff>
    </xdr:from>
    <xdr:to>
      <xdr:col>6</xdr:col>
      <xdr:colOff>988732</xdr:colOff>
      <xdr:row>58</xdr:row>
      <xdr:rowOff>163170</xdr:rowOff>
    </xdr:to>
    <xdr:pic>
      <xdr:nvPicPr>
        <xdr:cNvPr id="5" name="Рисунок 4" descr="Построение эпюр балк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917" y="6572990"/>
          <a:ext cx="4103762" cy="309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64</xdr:row>
          <xdr:rowOff>0</xdr:rowOff>
        </xdr:from>
        <xdr:to>
          <xdr:col>1</xdr:col>
          <xdr:colOff>333375</xdr:colOff>
          <xdr:row>65</xdr:row>
          <xdr:rowOff>28575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61</xdr:row>
          <xdr:rowOff>95250</xdr:rowOff>
        </xdr:from>
        <xdr:to>
          <xdr:col>3</xdr:col>
          <xdr:colOff>476250</xdr:colOff>
          <xdr:row>63</xdr:row>
          <xdr:rowOff>95250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65</xdr:row>
          <xdr:rowOff>123825</xdr:rowOff>
        </xdr:from>
        <xdr:to>
          <xdr:col>3</xdr:col>
          <xdr:colOff>428625</xdr:colOff>
          <xdr:row>67</xdr:row>
          <xdr:rowOff>85725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67</xdr:row>
          <xdr:rowOff>190500</xdr:rowOff>
        </xdr:from>
        <xdr:to>
          <xdr:col>1</xdr:col>
          <xdr:colOff>314325</xdr:colOff>
          <xdr:row>69</xdr:row>
          <xdr:rowOff>28575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69</xdr:row>
          <xdr:rowOff>66675</xdr:rowOff>
        </xdr:from>
        <xdr:to>
          <xdr:col>4</xdr:col>
          <xdr:colOff>133350</xdr:colOff>
          <xdr:row>71</xdr:row>
          <xdr:rowOff>85725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71</xdr:row>
          <xdr:rowOff>161925</xdr:rowOff>
        </xdr:from>
        <xdr:to>
          <xdr:col>1</xdr:col>
          <xdr:colOff>371475</xdr:colOff>
          <xdr:row>72</xdr:row>
          <xdr:rowOff>190500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73</xdr:row>
          <xdr:rowOff>47625</xdr:rowOff>
        </xdr:from>
        <xdr:to>
          <xdr:col>4</xdr:col>
          <xdr:colOff>104775</xdr:colOff>
          <xdr:row>75</xdr:row>
          <xdr:rowOff>66675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76</xdr:row>
          <xdr:rowOff>0</xdr:rowOff>
        </xdr:from>
        <xdr:to>
          <xdr:col>1</xdr:col>
          <xdr:colOff>381000</xdr:colOff>
          <xdr:row>77</xdr:row>
          <xdr:rowOff>38100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80</xdr:row>
          <xdr:rowOff>0</xdr:rowOff>
        </xdr:from>
        <xdr:to>
          <xdr:col>3</xdr:col>
          <xdr:colOff>304800</xdr:colOff>
          <xdr:row>82</xdr:row>
          <xdr:rowOff>57150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82</xdr:row>
          <xdr:rowOff>95250</xdr:rowOff>
        </xdr:from>
        <xdr:to>
          <xdr:col>3</xdr:col>
          <xdr:colOff>28575</xdr:colOff>
          <xdr:row>84</xdr:row>
          <xdr:rowOff>152400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89</xdr:row>
          <xdr:rowOff>47625</xdr:rowOff>
        </xdr:from>
        <xdr:to>
          <xdr:col>2</xdr:col>
          <xdr:colOff>209550</xdr:colOff>
          <xdr:row>91</xdr:row>
          <xdr:rowOff>76200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91</xdr:row>
          <xdr:rowOff>104775</xdr:rowOff>
        </xdr:from>
        <xdr:to>
          <xdr:col>1</xdr:col>
          <xdr:colOff>400050</xdr:colOff>
          <xdr:row>93</xdr:row>
          <xdr:rowOff>133350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97</xdr:row>
          <xdr:rowOff>114300</xdr:rowOff>
        </xdr:from>
        <xdr:to>
          <xdr:col>2</xdr:col>
          <xdr:colOff>57150</xdr:colOff>
          <xdr:row>99</xdr:row>
          <xdr:rowOff>152400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101</xdr:row>
          <xdr:rowOff>85725</xdr:rowOff>
        </xdr:from>
        <xdr:to>
          <xdr:col>2</xdr:col>
          <xdr:colOff>180975</xdr:colOff>
          <xdr:row>103</xdr:row>
          <xdr:rowOff>123825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105</xdr:row>
          <xdr:rowOff>76200</xdr:rowOff>
        </xdr:from>
        <xdr:to>
          <xdr:col>1</xdr:col>
          <xdr:colOff>333375</xdr:colOff>
          <xdr:row>107</xdr:row>
          <xdr:rowOff>114300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111</xdr:row>
          <xdr:rowOff>114300</xdr:rowOff>
        </xdr:from>
        <xdr:to>
          <xdr:col>1</xdr:col>
          <xdr:colOff>371475</xdr:colOff>
          <xdr:row>113</xdr:row>
          <xdr:rowOff>142875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111</xdr:row>
          <xdr:rowOff>85725</xdr:rowOff>
        </xdr:from>
        <xdr:to>
          <xdr:col>4</xdr:col>
          <xdr:colOff>276225</xdr:colOff>
          <xdr:row>113</xdr:row>
          <xdr:rowOff>152400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117</xdr:row>
          <xdr:rowOff>0</xdr:rowOff>
        </xdr:from>
        <xdr:to>
          <xdr:col>1</xdr:col>
          <xdr:colOff>304800</xdr:colOff>
          <xdr:row>118</xdr:row>
          <xdr:rowOff>114300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118</xdr:row>
          <xdr:rowOff>85725</xdr:rowOff>
        </xdr:from>
        <xdr:to>
          <xdr:col>1</xdr:col>
          <xdr:colOff>295275</xdr:colOff>
          <xdr:row>120</xdr:row>
          <xdr:rowOff>152400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135</xdr:row>
          <xdr:rowOff>66675</xdr:rowOff>
        </xdr:from>
        <xdr:to>
          <xdr:col>2</xdr:col>
          <xdr:colOff>571500</xdr:colOff>
          <xdr:row>137</xdr:row>
          <xdr:rowOff>85725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187476</xdr:colOff>
      <xdr:row>3</xdr:row>
      <xdr:rowOff>34184</xdr:rowOff>
    </xdr:from>
    <xdr:to>
      <xdr:col>6</xdr:col>
      <xdr:colOff>1927258</xdr:colOff>
      <xdr:row>7</xdr:row>
      <xdr:rowOff>84978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601" y="843809"/>
          <a:ext cx="1739782" cy="251776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48</xdr:row>
      <xdr:rowOff>21214</xdr:rowOff>
    </xdr:from>
    <xdr:to>
      <xdr:col>6</xdr:col>
      <xdr:colOff>988732</xdr:colOff>
      <xdr:row>63</xdr:row>
      <xdr:rowOff>96856</xdr:rowOff>
    </xdr:to>
    <xdr:pic>
      <xdr:nvPicPr>
        <xdr:cNvPr id="3" name="Рисунок 2" descr="Построение эпюр балк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9328389"/>
          <a:ext cx="4017682" cy="3085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87</xdr:row>
          <xdr:rowOff>0</xdr:rowOff>
        </xdr:from>
        <xdr:to>
          <xdr:col>1</xdr:col>
          <xdr:colOff>333375</xdr:colOff>
          <xdr:row>88</xdr:row>
          <xdr:rowOff>28575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84</xdr:row>
          <xdr:rowOff>95250</xdr:rowOff>
        </xdr:from>
        <xdr:to>
          <xdr:col>3</xdr:col>
          <xdr:colOff>476250</xdr:colOff>
          <xdr:row>86</xdr:row>
          <xdr:rowOff>95250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90</xdr:row>
          <xdr:rowOff>180975</xdr:rowOff>
        </xdr:from>
        <xdr:to>
          <xdr:col>1</xdr:col>
          <xdr:colOff>333375</xdr:colOff>
          <xdr:row>92</xdr:row>
          <xdr:rowOff>19050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96</xdr:row>
          <xdr:rowOff>66675</xdr:rowOff>
        </xdr:from>
        <xdr:to>
          <xdr:col>4</xdr:col>
          <xdr:colOff>133350</xdr:colOff>
          <xdr:row>98</xdr:row>
          <xdr:rowOff>85725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99</xdr:row>
          <xdr:rowOff>0</xdr:rowOff>
        </xdr:from>
        <xdr:to>
          <xdr:col>1</xdr:col>
          <xdr:colOff>381000</xdr:colOff>
          <xdr:row>100</xdr:row>
          <xdr:rowOff>28575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102</xdr:row>
          <xdr:rowOff>152400</xdr:rowOff>
        </xdr:from>
        <xdr:to>
          <xdr:col>1</xdr:col>
          <xdr:colOff>390525</xdr:colOff>
          <xdr:row>104</xdr:row>
          <xdr:rowOff>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0</xdr:rowOff>
        </xdr:from>
        <xdr:to>
          <xdr:col>3</xdr:col>
          <xdr:colOff>304800</xdr:colOff>
          <xdr:row>110</xdr:row>
          <xdr:rowOff>57150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110</xdr:row>
          <xdr:rowOff>95250</xdr:rowOff>
        </xdr:from>
        <xdr:to>
          <xdr:col>3</xdr:col>
          <xdr:colOff>28575</xdr:colOff>
          <xdr:row>112</xdr:row>
          <xdr:rowOff>152400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80426</xdr:colOff>
      <xdr:row>43</xdr:row>
      <xdr:rowOff>125538</xdr:rowOff>
    </xdr:from>
    <xdr:to>
      <xdr:col>6</xdr:col>
      <xdr:colOff>957542</xdr:colOff>
      <xdr:row>45</xdr:row>
      <xdr:rowOff>1143000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51" y="12279438"/>
          <a:ext cx="4001316" cy="621811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68</xdr:row>
      <xdr:rowOff>57150</xdr:rowOff>
    </xdr:from>
    <xdr:to>
      <xdr:col>6</xdr:col>
      <xdr:colOff>1980821</xdr:colOff>
      <xdr:row>82</xdr:row>
      <xdr:rowOff>219075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231100"/>
          <a:ext cx="5638421" cy="2962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100</xdr:row>
          <xdr:rowOff>85725</xdr:rowOff>
        </xdr:from>
        <xdr:to>
          <xdr:col>2</xdr:col>
          <xdr:colOff>552450</xdr:colOff>
          <xdr:row>102</xdr:row>
          <xdr:rowOff>104775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94</xdr:row>
          <xdr:rowOff>180975</xdr:rowOff>
        </xdr:from>
        <xdr:to>
          <xdr:col>1</xdr:col>
          <xdr:colOff>342900</xdr:colOff>
          <xdr:row>96</xdr:row>
          <xdr:rowOff>19050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88</xdr:row>
          <xdr:rowOff>123825</xdr:rowOff>
        </xdr:from>
        <xdr:to>
          <xdr:col>2</xdr:col>
          <xdr:colOff>485775</xdr:colOff>
          <xdr:row>90</xdr:row>
          <xdr:rowOff>76200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92</xdr:row>
          <xdr:rowOff>85725</xdr:rowOff>
        </xdr:from>
        <xdr:to>
          <xdr:col>2</xdr:col>
          <xdr:colOff>485775</xdr:colOff>
          <xdr:row>94</xdr:row>
          <xdr:rowOff>76200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117</xdr:row>
          <xdr:rowOff>47625</xdr:rowOff>
        </xdr:from>
        <xdr:to>
          <xdr:col>2</xdr:col>
          <xdr:colOff>209550</xdr:colOff>
          <xdr:row>119</xdr:row>
          <xdr:rowOff>76200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119</xdr:row>
          <xdr:rowOff>104775</xdr:rowOff>
        </xdr:from>
        <xdr:to>
          <xdr:col>1</xdr:col>
          <xdr:colOff>400050</xdr:colOff>
          <xdr:row>121</xdr:row>
          <xdr:rowOff>133350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125</xdr:row>
          <xdr:rowOff>114300</xdr:rowOff>
        </xdr:from>
        <xdr:to>
          <xdr:col>2</xdr:col>
          <xdr:colOff>57150</xdr:colOff>
          <xdr:row>127</xdr:row>
          <xdr:rowOff>152400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129</xdr:row>
          <xdr:rowOff>95250</xdr:rowOff>
        </xdr:from>
        <xdr:to>
          <xdr:col>2</xdr:col>
          <xdr:colOff>152400</xdr:colOff>
          <xdr:row>131</xdr:row>
          <xdr:rowOff>133350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133</xdr:row>
          <xdr:rowOff>76200</xdr:rowOff>
        </xdr:from>
        <xdr:to>
          <xdr:col>1</xdr:col>
          <xdr:colOff>333375</xdr:colOff>
          <xdr:row>135</xdr:row>
          <xdr:rowOff>114300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139</xdr:row>
          <xdr:rowOff>114300</xdr:rowOff>
        </xdr:from>
        <xdr:to>
          <xdr:col>1</xdr:col>
          <xdr:colOff>371475</xdr:colOff>
          <xdr:row>141</xdr:row>
          <xdr:rowOff>142875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139</xdr:row>
          <xdr:rowOff>85725</xdr:rowOff>
        </xdr:from>
        <xdr:to>
          <xdr:col>4</xdr:col>
          <xdr:colOff>276225</xdr:colOff>
          <xdr:row>141</xdr:row>
          <xdr:rowOff>152400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145</xdr:row>
          <xdr:rowOff>0</xdr:rowOff>
        </xdr:from>
        <xdr:to>
          <xdr:col>1</xdr:col>
          <xdr:colOff>304800</xdr:colOff>
          <xdr:row>146</xdr:row>
          <xdr:rowOff>114300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146</xdr:row>
          <xdr:rowOff>85725</xdr:rowOff>
        </xdr:from>
        <xdr:to>
          <xdr:col>1</xdr:col>
          <xdr:colOff>295275</xdr:colOff>
          <xdr:row>148</xdr:row>
          <xdr:rowOff>152400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163</xdr:row>
          <xdr:rowOff>66675</xdr:rowOff>
        </xdr:from>
        <xdr:to>
          <xdr:col>2</xdr:col>
          <xdr:colOff>571500</xdr:colOff>
          <xdr:row>165</xdr:row>
          <xdr:rowOff>85725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187476</xdr:colOff>
      <xdr:row>3</xdr:row>
      <xdr:rowOff>34184</xdr:rowOff>
    </xdr:from>
    <xdr:to>
      <xdr:col>6</xdr:col>
      <xdr:colOff>1927258</xdr:colOff>
      <xdr:row>7</xdr:row>
      <xdr:rowOff>84978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601" y="843809"/>
          <a:ext cx="1739782" cy="2517769"/>
        </a:xfrm>
        <a:prstGeom prst="rect">
          <a:avLst/>
        </a:prstGeom>
      </xdr:spPr>
    </xdr:pic>
    <xdr:clientData/>
  </xdr:twoCellAnchor>
  <xdr:twoCellAnchor editAs="oneCell">
    <xdr:from>
      <xdr:col>1</xdr:col>
      <xdr:colOff>8903</xdr:colOff>
      <xdr:row>48</xdr:row>
      <xdr:rowOff>21214</xdr:rowOff>
    </xdr:from>
    <xdr:to>
      <xdr:col>6</xdr:col>
      <xdr:colOff>988732</xdr:colOff>
      <xdr:row>63</xdr:row>
      <xdr:rowOff>163170</xdr:rowOff>
    </xdr:to>
    <xdr:pic>
      <xdr:nvPicPr>
        <xdr:cNvPr id="3" name="Рисунок 2" descr="Построение эпюр балки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28" y="15756514"/>
          <a:ext cx="4104029" cy="3151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87</xdr:row>
          <xdr:rowOff>0</xdr:rowOff>
        </xdr:from>
        <xdr:to>
          <xdr:col>1</xdr:col>
          <xdr:colOff>333375</xdr:colOff>
          <xdr:row>88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84</xdr:row>
          <xdr:rowOff>95250</xdr:rowOff>
        </xdr:from>
        <xdr:to>
          <xdr:col>3</xdr:col>
          <xdr:colOff>476250</xdr:colOff>
          <xdr:row>86</xdr:row>
          <xdr:rowOff>95250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90</xdr:row>
          <xdr:rowOff>180975</xdr:rowOff>
        </xdr:from>
        <xdr:to>
          <xdr:col>1</xdr:col>
          <xdr:colOff>333375</xdr:colOff>
          <xdr:row>92</xdr:row>
          <xdr:rowOff>19050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96</xdr:row>
          <xdr:rowOff>66675</xdr:rowOff>
        </xdr:from>
        <xdr:to>
          <xdr:col>4</xdr:col>
          <xdr:colOff>133350</xdr:colOff>
          <xdr:row>98</xdr:row>
          <xdr:rowOff>85725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99</xdr:row>
          <xdr:rowOff>0</xdr:rowOff>
        </xdr:from>
        <xdr:to>
          <xdr:col>1</xdr:col>
          <xdr:colOff>381000</xdr:colOff>
          <xdr:row>100</xdr:row>
          <xdr:rowOff>28575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115</xdr:row>
          <xdr:rowOff>0</xdr:rowOff>
        </xdr:from>
        <xdr:to>
          <xdr:col>3</xdr:col>
          <xdr:colOff>304800</xdr:colOff>
          <xdr:row>117</xdr:row>
          <xdr:rowOff>57150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117</xdr:row>
          <xdr:rowOff>95250</xdr:rowOff>
        </xdr:from>
        <xdr:to>
          <xdr:col>3</xdr:col>
          <xdr:colOff>28575</xdr:colOff>
          <xdr:row>119</xdr:row>
          <xdr:rowOff>152400</xdr:rowOff>
        </xdr:to>
        <xdr:sp macro="" textlink="">
          <xdr:nvSpPr>
            <xdr:cNvPr id="10248" name="Object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94</xdr:row>
          <xdr:rowOff>180975</xdr:rowOff>
        </xdr:from>
        <xdr:to>
          <xdr:col>1</xdr:col>
          <xdr:colOff>342900</xdr:colOff>
          <xdr:row>96</xdr:row>
          <xdr:rowOff>19050</xdr:rowOff>
        </xdr:to>
        <xdr:sp macro="" textlink="">
          <xdr:nvSpPr>
            <xdr:cNvPr id="10252" name="Object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43</xdr:row>
      <xdr:rowOff>161925</xdr:rowOff>
    </xdr:from>
    <xdr:to>
      <xdr:col>6</xdr:col>
      <xdr:colOff>1362074</xdr:colOff>
      <xdr:row>45</xdr:row>
      <xdr:rowOff>1004477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2372975"/>
          <a:ext cx="3886199" cy="6043202"/>
        </a:xfrm>
        <a:prstGeom prst="rect">
          <a:avLst/>
        </a:prstGeom>
      </xdr:spPr>
    </xdr:pic>
    <xdr:clientData/>
  </xdr:twoCellAnchor>
  <xdr:twoCellAnchor editAs="oneCell">
    <xdr:from>
      <xdr:col>0</xdr:col>
      <xdr:colOff>23676</xdr:colOff>
      <xdr:row>66</xdr:row>
      <xdr:rowOff>115740</xdr:rowOff>
    </xdr:from>
    <xdr:to>
      <xdr:col>6</xdr:col>
      <xdr:colOff>2085975</xdr:colOff>
      <xdr:row>82</xdr:row>
      <xdr:rowOff>6008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6" y="19889640"/>
          <a:ext cx="5729424" cy="30906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88</xdr:row>
          <xdr:rowOff>361950</xdr:rowOff>
        </xdr:from>
        <xdr:to>
          <xdr:col>2</xdr:col>
          <xdr:colOff>504825</xdr:colOff>
          <xdr:row>90</xdr:row>
          <xdr:rowOff>114300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92</xdr:row>
          <xdr:rowOff>123825</xdr:rowOff>
        </xdr:from>
        <xdr:to>
          <xdr:col>2</xdr:col>
          <xdr:colOff>542925</xdr:colOff>
          <xdr:row>94</xdr:row>
          <xdr:rowOff>114300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100</xdr:row>
          <xdr:rowOff>95250</xdr:rowOff>
        </xdr:from>
        <xdr:to>
          <xdr:col>2</xdr:col>
          <xdr:colOff>590550</xdr:colOff>
          <xdr:row>102</xdr:row>
          <xdr:rowOff>114300</xdr:rowOff>
        </xdr:to>
        <xdr:sp macro="" textlink="">
          <xdr:nvSpPr>
            <xdr:cNvPr id="10255" name="Object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103</xdr:row>
          <xdr:rowOff>0</xdr:rowOff>
        </xdr:from>
        <xdr:to>
          <xdr:col>1</xdr:col>
          <xdr:colOff>381000</xdr:colOff>
          <xdr:row>104</xdr:row>
          <xdr:rowOff>28575</xdr:rowOff>
        </xdr:to>
        <xdr:sp macro="" textlink="">
          <xdr:nvSpPr>
            <xdr:cNvPr id="10256" name="Object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104</xdr:row>
          <xdr:rowOff>85725</xdr:rowOff>
        </xdr:from>
        <xdr:to>
          <xdr:col>2</xdr:col>
          <xdr:colOff>561975</xdr:colOff>
          <xdr:row>106</xdr:row>
          <xdr:rowOff>104775</xdr:rowOff>
        </xdr:to>
        <xdr:sp macro="" textlink="">
          <xdr:nvSpPr>
            <xdr:cNvPr id="10257" name="Object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108</xdr:row>
          <xdr:rowOff>85725</xdr:rowOff>
        </xdr:from>
        <xdr:to>
          <xdr:col>2</xdr:col>
          <xdr:colOff>561975</xdr:colOff>
          <xdr:row>110</xdr:row>
          <xdr:rowOff>104775</xdr:rowOff>
        </xdr:to>
        <xdr:sp macro="" textlink="">
          <xdr:nvSpPr>
            <xdr:cNvPr id="10258" name="Object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110</xdr:row>
          <xdr:rowOff>180975</xdr:rowOff>
        </xdr:from>
        <xdr:to>
          <xdr:col>1</xdr:col>
          <xdr:colOff>400050</xdr:colOff>
          <xdr:row>112</xdr:row>
          <xdr:rowOff>19050</xdr:rowOff>
        </xdr:to>
        <xdr:sp macro="" textlink="">
          <xdr:nvSpPr>
            <xdr:cNvPr id="10259" name="Object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107</xdr:row>
          <xdr:rowOff>0</xdr:rowOff>
        </xdr:from>
        <xdr:to>
          <xdr:col>1</xdr:col>
          <xdr:colOff>409575</xdr:colOff>
          <xdr:row>107</xdr:row>
          <xdr:rowOff>238125</xdr:rowOff>
        </xdr:to>
        <xdr:sp macro="" textlink="">
          <xdr:nvSpPr>
            <xdr:cNvPr id="10260" name="Object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323850</xdr:colOff>
          <xdr:row>121</xdr:row>
          <xdr:rowOff>66675</xdr:rowOff>
        </xdr:from>
        <xdr:to>
          <xdr:col>3</xdr:col>
          <xdr:colOff>0</xdr:colOff>
          <xdr:row>123</xdr:row>
          <xdr:rowOff>123825</xdr:rowOff>
        </xdr:to>
        <xdr:sp macro="" textlink="">
          <xdr:nvSpPr>
            <xdr:cNvPr id="10261" name="Object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128</xdr:row>
          <xdr:rowOff>47625</xdr:rowOff>
        </xdr:from>
        <xdr:to>
          <xdr:col>2</xdr:col>
          <xdr:colOff>209550</xdr:colOff>
          <xdr:row>130</xdr:row>
          <xdr:rowOff>76200</xdr:rowOff>
        </xdr:to>
        <xdr:sp macro="" textlink="">
          <xdr:nvSpPr>
            <xdr:cNvPr id="10272" name="Object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130</xdr:row>
          <xdr:rowOff>104775</xdr:rowOff>
        </xdr:from>
        <xdr:to>
          <xdr:col>1</xdr:col>
          <xdr:colOff>400050</xdr:colOff>
          <xdr:row>132</xdr:row>
          <xdr:rowOff>133350</xdr:rowOff>
        </xdr:to>
        <xdr:sp macro="" textlink="">
          <xdr:nvSpPr>
            <xdr:cNvPr id="10273" name="Object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136</xdr:row>
          <xdr:rowOff>114300</xdr:rowOff>
        </xdr:from>
        <xdr:to>
          <xdr:col>2</xdr:col>
          <xdr:colOff>57150</xdr:colOff>
          <xdr:row>138</xdr:row>
          <xdr:rowOff>152400</xdr:rowOff>
        </xdr:to>
        <xdr:sp macro="" textlink="">
          <xdr:nvSpPr>
            <xdr:cNvPr id="10274" name="Object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140</xdr:row>
          <xdr:rowOff>95250</xdr:rowOff>
        </xdr:from>
        <xdr:to>
          <xdr:col>2</xdr:col>
          <xdr:colOff>152400</xdr:colOff>
          <xdr:row>142</xdr:row>
          <xdr:rowOff>133350</xdr:rowOff>
        </xdr:to>
        <xdr:sp macro="" textlink="">
          <xdr:nvSpPr>
            <xdr:cNvPr id="10275" name="Object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144</xdr:row>
          <xdr:rowOff>76200</xdr:rowOff>
        </xdr:from>
        <xdr:to>
          <xdr:col>1</xdr:col>
          <xdr:colOff>333375</xdr:colOff>
          <xdr:row>146</xdr:row>
          <xdr:rowOff>114300</xdr:rowOff>
        </xdr:to>
        <xdr:sp macro="" textlink="">
          <xdr:nvSpPr>
            <xdr:cNvPr id="10276" name="Object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150</xdr:row>
          <xdr:rowOff>114300</xdr:rowOff>
        </xdr:from>
        <xdr:to>
          <xdr:col>1</xdr:col>
          <xdr:colOff>371475</xdr:colOff>
          <xdr:row>152</xdr:row>
          <xdr:rowOff>142875</xdr:rowOff>
        </xdr:to>
        <xdr:sp macro="" textlink="">
          <xdr:nvSpPr>
            <xdr:cNvPr id="10277" name="Object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150</xdr:row>
          <xdr:rowOff>85725</xdr:rowOff>
        </xdr:from>
        <xdr:to>
          <xdr:col>4</xdr:col>
          <xdr:colOff>276225</xdr:colOff>
          <xdr:row>152</xdr:row>
          <xdr:rowOff>152400</xdr:rowOff>
        </xdr:to>
        <xdr:sp macro="" textlink="">
          <xdr:nvSpPr>
            <xdr:cNvPr id="10278" name="Object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156</xdr:row>
          <xdr:rowOff>0</xdr:rowOff>
        </xdr:from>
        <xdr:to>
          <xdr:col>1</xdr:col>
          <xdr:colOff>304800</xdr:colOff>
          <xdr:row>157</xdr:row>
          <xdr:rowOff>114300</xdr:rowOff>
        </xdr:to>
        <xdr:sp macro="" textlink="">
          <xdr:nvSpPr>
            <xdr:cNvPr id="10279" name="Object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157</xdr:row>
          <xdr:rowOff>85725</xdr:rowOff>
        </xdr:from>
        <xdr:to>
          <xdr:col>1</xdr:col>
          <xdr:colOff>295275</xdr:colOff>
          <xdr:row>159</xdr:row>
          <xdr:rowOff>152400</xdr:rowOff>
        </xdr:to>
        <xdr:sp macro="" textlink="">
          <xdr:nvSpPr>
            <xdr:cNvPr id="10280" name="Object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174</xdr:row>
          <xdr:rowOff>66675</xdr:rowOff>
        </xdr:from>
        <xdr:to>
          <xdr:col>2</xdr:col>
          <xdr:colOff>571500</xdr:colOff>
          <xdr:row>176</xdr:row>
          <xdr:rowOff>85725</xdr:rowOff>
        </xdr:to>
        <xdr:sp macro="" textlink="">
          <xdr:nvSpPr>
            <xdr:cNvPr id="10281" name="Object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48</xdr:row>
      <xdr:rowOff>135514</xdr:rowOff>
    </xdr:from>
    <xdr:to>
      <xdr:col>6</xdr:col>
      <xdr:colOff>636307</xdr:colOff>
      <xdr:row>61</xdr:row>
      <xdr:rowOff>118884</xdr:rowOff>
    </xdr:to>
    <xdr:pic>
      <xdr:nvPicPr>
        <xdr:cNvPr id="3" name="Рисунок 2" descr="Построение эпюр балк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166089"/>
          <a:ext cx="3389032" cy="2602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66</xdr:row>
          <xdr:rowOff>0</xdr:rowOff>
        </xdr:from>
        <xdr:to>
          <xdr:col>1</xdr:col>
          <xdr:colOff>333375</xdr:colOff>
          <xdr:row>67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69</xdr:row>
          <xdr:rowOff>190500</xdr:rowOff>
        </xdr:from>
        <xdr:to>
          <xdr:col>1</xdr:col>
          <xdr:colOff>314325</xdr:colOff>
          <xdr:row>71</xdr:row>
          <xdr:rowOff>28575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74</xdr:row>
          <xdr:rowOff>0</xdr:rowOff>
        </xdr:from>
        <xdr:to>
          <xdr:col>1</xdr:col>
          <xdr:colOff>381000</xdr:colOff>
          <xdr:row>75</xdr:row>
          <xdr:rowOff>28575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78</xdr:row>
          <xdr:rowOff>0</xdr:rowOff>
        </xdr:from>
        <xdr:to>
          <xdr:col>1</xdr:col>
          <xdr:colOff>381000</xdr:colOff>
          <xdr:row>79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94</xdr:row>
          <xdr:rowOff>133350</xdr:rowOff>
        </xdr:from>
        <xdr:to>
          <xdr:col>4</xdr:col>
          <xdr:colOff>457200</xdr:colOff>
          <xdr:row>96</xdr:row>
          <xdr:rowOff>190500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99</xdr:row>
      <xdr:rowOff>123825</xdr:rowOff>
    </xdr:from>
    <xdr:to>
      <xdr:col>6</xdr:col>
      <xdr:colOff>1759964</xdr:colOff>
      <xdr:row>116</xdr:row>
      <xdr:rowOff>47625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0032325"/>
          <a:ext cx="5350889" cy="33242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3</xdr:row>
      <xdr:rowOff>142875</xdr:rowOff>
    </xdr:from>
    <xdr:to>
      <xdr:col>6</xdr:col>
      <xdr:colOff>2047874</xdr:colOff>
      <xdr:row>6</xdr:row>
      <xdr:rowOff>1132633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4" y="952500"/>
          <a:ext cx="1952625" cy="25994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63</xdr:row>
          <xdr:rowOff>152400</xdr:rowOff>
        </xdr:from>
        <xdr:to>
          <xdr:col>3</xdr:col>
          <xdr:colOff>457200</xdr:colOff>
          <xdr:row>65</xdr:row>
          <xdr:rowOff>142875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67</xdr:row>
          <xdr:rowOff>133350</xdr:rowOff>
        </xdr:from>
        <xdr:to>
          <xdr:col>3</xdr:col>
          <xdr:colOff>419100</xdr:colOff>
          <xdr:row>69</xdr:row>
          <xdr:rowOff>85725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71</xdr:row>
          <xdr:rowOff>95250</xdr:rowOff>
        </xdr:from>
        <xdr:to>
          <xdr:col>4</xdr:col>
          <xdr:colOff>57150</xdr:colOff>
          <xdr:row>73</xdr:row>
          <xdr:rowOff>114300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82</xdr:row>
          <xdr:rowOff>0</xdr:rowOff>
        </xdr:from>
        <xdr:to>
          <xdr:col>3</xdr:col>
          <xdr:colOff>76200</xdr:colOff>
          <xdr:row>83</xdr:row>
          <xdr:rowOff>57150</xdr:rowOff>
        </xdr:to>
        <xdr:sp macro="" textlink="">
          <xdr:nvSpPr>
            <xdr:cNvPr id="3098" name="Object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32</xdr:row>
          <xdr:rowOff>66675</xdr:rowOff>
        </xdr:from>
        <xdr:to>
          <xdr:col>2</xdr:col>
          <xdr:colOff>76200</xdr:colOff>
          <xdr:row>32</xdr:row>
          <xdr:rowOff>533400</xdr:rowOff>
        </xdr:to>
        <xdr:sp macro="" textlink="">
          <xdr:nvSpPr>
            <xdr:cNvPr id="3100" name="Object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314325</xdr:colOff>
      <xdr:row>87</xdr:row>
      <xdr:rowOff>47625</xdr:rowOff>
    </xdr:from>
    <xdr:to>
      <xdr:col>4</xdr:col>
      <xdr:colOff>771525</xdr:colOff>
      <xdr:row>88</xdr:row>
      <xdr:rowOff>3304282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3841075"/>
          <a:ext cx="2600325" cy="345668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33</xdr:row>
          <xdr:rowOff>333375</xdr:rowOff>
        </xdr:from>
        <xdr:to>
          <xdr:col>0</xdr:col>
          <xdr:colOff>428625</xdr:colOff>
          <xdr:row>33</xdr:row>
          <xdr:rowOff>561975</xdr:rowOff>
        </xdr:to>
        <xdr:sp macro="" textlink="">
          <xdr:nvSpPr>
            <xdr:cNvPr id="3102" name="Object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83</xdr:row>
          <xdr:rowOff>123825</xdr:rowOff>
        </xdr:from>
        <xdr:to>
          <xdr:col>3</xdr:col>
          <xdr:colOff>495300</xdr:colOff>
          <xdr:row>85</xdr:row>
          <xdr:rowOff>114300</xdr:rowOff>
        </xdr:to>
        <xdr:sp macro="" textlink="">
          <xdr:nvSpPr>
            <xdr:cNvPr id="3103" name="Object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120</xdr:row>
          <xdr:rowOff>85725</xdr:rowOff>
        </xdr:from>
        <xdr:to>
          <xdr:col>4</xdr:col>
          <xdr:colOff>342900</xdr:colOff>
          <xdr:row>122</xdr:row>
          <xdr:rowOff>142875</xdr:rowOff>
        </xdr:to>
        <xdr:sp macro="" textlink="">
          <xdr:nvSpPr>
            <xdr:cNvPr id="3104" name="Object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125</xdr:row>
          <xdr:rowOff>76200</xdr:rowOff>
        </xdr:from>
        <xdr:to>
          <xdr:col>4</xdr:col>
          <xdr:colOff>352425</xdr:colOff>
          <xdr:row>127</xdr:row>
          <xdr:rowOff>133350</xdr:rowOff>
        </xdr:to>
        <xdr:sp macro="" textlink="">
          <xdr:nvSpPr>
            <xdr:cNvPr id="3109" name="Object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130</xdr:row>
          <xdr:rowOff>57150</xdr:rowOff>
        </xdr:from>
        <xdr:to>
          <xdr:col>4</xdr:col>
          <xdr:colOff>314325</xdr:colOff>
          <xdr:row>132</xdr:row>
          <xdr:rowOff>114300</xdr:rowOff>
        </xdr:to>
        <xdr:sp macro="" textlink="">
          <xdr:nvSpPr>
            <xdr:cNvPr id="3111" name="Object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135</xdr:row>
          <xdr:rowOff>76200</xdr:rowOff>
        </xdr:from>
        <xdr:to>
          <xdr:col>4</xdr:col>
          <xdr:colOff>314325</xdr:colOff>
          <xdr:row>137</xdr:row>
          <xdr:rowOff>133350</xdr:rowOff>
        </xdr:to>
        <xdr:sp macro="" textlink="">
          <xdr:nvSpPr>
            <xdr:cNvPr id="3113" name="Object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75</xdr:row>
          <xdr:rowOff>95250</xdr:rowOff>
        </xdr:from>
        <xdr:to>
          <xdr:col>4</xdr:col>
          <xdr:colOff>76200</xdr:colOff>
          <xdr:row>77</xdr:row>
          <xdr:rowOff>114300</xdr:rowOff>
        </xdr:to>
        <xdr:sp macro="" textlink="">
          <xdr:nvSpPr>
            <xdr:cNvPr id="3116" name="Object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143</xdr:row>
          <xdr:rowOff>47625</xdr:rowOff>
        </xdr:from>
        <xdr:to>
          <xdr:col>2</xdr:col>
          <xdr:colOff>209550</xdr:colOff>
          <xdr:row>145</xdr:row>
          <xdr:rowOff>76200</xdr:rowOff>
        </xdr:to>
        <xdr:sp macro="" textlink="">
          <xdr:nvSpPr>
            <xdr:cNvPr id="3128" name="Object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145</xdr:row>
          <xdr:rowOff>104775</xdr:rowOff>
        </xdr:from>
        <xdr:to>
          <xdr:col>1</xdr:col>
          <xdr:colOff>400050</xdr:colOff>
          <xdr:row>147</xdr:row>
          <xdr:rowOff>133350</xdr:rowOff>
        </xdr:to>
        <xdr:sp macro="" textlink="">
          <xdr:nvSpPr>
            <xdr:cNvPr id="3129" name="Object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476250</xdr:colOff>
          <xdr:row>151</xdr:row>
          <xdr:rowOff>114300</xdr:rowOff>
        </xdr:from>
        <xdr:to>
          <xdr:col>2</xdr:col>
          <xdr:colOff>57150</xdr:colOff>
          <xdr:row>153</xdr:row>
          <xdr:rowOff>152400</xdr:rowOff>
        </xdr:to>
        <xdr:sp macro="" textlink="">
          <xdr:nvSpPr>
            <xdr:cNvPr id="3130" name="Object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155</xdr:row>
          <xdr:rowOff>95250</xdr:rowOff>
        </xdr:from>
        <xdr:to>
          <xdr:col>2</xdr:col>
          <xdr:colOff>152400</xdr:colOff>
          <xdr:row>157</xdr:row>
          <xdr:rowOff>133350</xdr:rowOff>
        </xdr:to>
        <xdr:sp macro="" textlink="">
          <xdr:nvSpPr>
            <xdr:cNvPr id="3131" name="Object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159</xdr:row>
          <xdr:rowOff>76200</xdr:rowOff>
        </xdr:from>
        <xdr:to>
          <xdr:col>1</xdr:col>
          <xdr:colOff>333375</xdr:colOff>
          <xdr:row>161</xdr:row>
          <xdr:rowOff>114300</xdr:rowOff>
        </xdr:to>
        <xdr:sp macro="" textlink="">
          <xdr:nvSpPr>
            <xdr:cNvPr id="3132" name="Object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165</xdr:row>
          <xdr:rowOff>114300</xdr:rowOff>
        </xdr:from>
        <xdr:to>
          <xdr:col>1</xdr:col>
          <xdr:colOff>371475</xdr:colOff>
          <xdr:row>167</xdr:row>
          <xdr:rowOff>142875</xdr:rowOff>
        </xdr:to>
        <xdr:sp macro="" textlink="">
          <xdr:nvSpPr>
            <xdr:cNvPr id="3133" name="Object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165</xdr:row>
          <xdr:rowOff>85725</xdr:rowOff>
        </xdr:from>
        <xdr:to>
          <xdr:col>4</xdr:col>
          <xdr:colOff>276225</xdr:colOff>
          <xdr:row>167</xdr:row>
          <xdr:rowOff>152400</xdr:rowOff>
        </xdr:to>
        <xdr:sp macro="" textlink="">
          <xdr:nvSpPr>
            <xdr:cNvPr id="3134" name="Object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170</xdr:row>
          <xdr:rowOff>152400</xdr:rowOff>
        </xdr:from>
        <xdr:to>
          <xdr:col>1</xdr:col>
          <xdr:colOff>304800</xdr:colOff>
          <xdr:row>172</xdr:row>
          <xdr:rowOff>114300</xdr:rowOff>
        </xdr:to>
        <xdr:sp macro="" textlink="">
          <xdr:nvSpPr>
            <xdr:cNvPr id="3135" name="Object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172</xdr:row>
          <xdr:rowOff>85725</xdr:rowOff>
        </xdr:from>
        <xdr:to>
          <xdr:col>1</xdr:col>
          <xdr:colOff>295275</xdr:colOff>
          <xdr:row>174</xdr:row>
          <xdr:rowOff>133350</xdr:rowOff>
        </xdr:to>
        <xdr:sp macro="" textlink="">
          <xdr:nvSpPr>
            <xdr:cNvPr id="3136" name="Object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189</xdr:row>
          <xdr:rowOff>66675</xdr:rowOff>
        </xdr:from>
        <xdr:to>
          <xdr:col>2</xdr:col>
          <xdr:colOff>571500</xdr:colOff>
          <xdr:row>191</xdr:row>
          <xdr:rowOff>85725</xdr:rowOff>
        </xdr:to>
        <xdr:sp macro="" textlink="">
          <xdr:nvSpPr>
            <xdr:cNvPr id="3137" name="Object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2</xdr:row>
      <xdr:rowOff>23812</xdr:rowOff>
    </xdr:from>
    <xdr:to>
      <xdr:col>18</xdr:col>
      <xdr:colOff>190500</xdr:colOff>
      <xdr:row>29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</xdr:row>
          <xdr:rowOff>47625</xdr:rowOff>
        </xdr:from>
        <xdr:to>
          <xdr:col>8</xdr:col>
          <xdr:colOff>800100</xdr:colOff>
          <xdr:row>4</xdr:row>
          <xdr:rowOff>19050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38" Type="http://schemas.openxmlformats.org/officeDocument/2006/relationships/oleObject" Target="../embeddings/oleObject18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emf"/><Relationship Id="rId40" Type="http://schemas.openxmlformats.org/officeDocument/2006/relationships/oleObject" Target="../embeddings/oleObject19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wmf"/><Relationship Id="rId43" Type="http://schemas.openxmlformats.org/officeDocument/2006/relationships/image" Target="../media/image20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image" Target="../media/image6.wmf"/><Relationship Id="rId18" Type="http://schemas.openxmlformats.org/officeDocument/2006/relationships/oleObject" Target="../embeddings/oleObject28.bin"/><Relationship Id="rId26" Type="http://schemas.openxmlformats.org/officeDocument/2006/relationships/image" Target="../media/image25.wmf"/><Relationship Id="rId39" Type="http://schemas.openxmlformats.org/officeDocument/2006/relationships/oleObject" Target="../embeddings/oleObject39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23.wmf"/><Relationship Id="rId34" Type="http://schemas.openxmlformats.org/officeDocument/2006/relationships/image" Target="../media/image19.emf"/><Relationship Id="rId42" Type="http://schemas.openxmlformats.org/officeDocument/2006/relationships/image" Target="../media/image14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25.bin"/><Relationship Id="rId17" Type="http://schemas.openxmlformats.org/officeDocument/2006/relationships/image" Target="../media/image9.wmf"/><Relationship Id="rId25" Type="http://schemas.openxmlformats.org/officeDocument/2006/relationships/oleObject" Target="../embeddings/oleObject32.bin"/><Relationship Id="rId33" Type="http://schemas.openxmlformats.org/officeDocument/2006/relationships/oleObject" Target="../embeddings/oleObject36.bin"/><Relationship Id="rId38" Type="http://schemas.openxmlformats.org/officeDocument/2006/relationships/image" Target="../media/image12.wmf"/><Relationship Id="rId46" Type="http://schemas.openxmlformats.org/officeDocument/2006/relationships/image" Target="../media/image16.w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29.bin"/><Relationship Id="rId29" Type="http://schemas.openxmlformats.org/officeDocument/2006/relationships/oleObject" Target="../embeddings/oleObject34.bin"/><Relationship Id="rId41" Type="http://schemas.openxmlformats.org/officeDocument/2006/relationships/oleObject" Target="../embeddings/oleObject40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2.bin"/><Relationship Id="rId11" Type="http://schemas.openxmlformats.org/officeDocument/2006/relationships/image" Target="../media/image5.wmf"/><Relationship Id="rId24" Type="http://schemas.openxmlformats.org/officeDocument/2006/relationships/image" Target="../media/image24.wmf"/><Relationship Id="rId32" Type="http://schemas.openxmlformats.org/officeDocument/2006/relationships/image" Target="../media/image18.emf"/><Relationship Id="rId37" Type="http://schemas.openxmlformats.org/officeDocument/2006/relationships/oleObject" Target="../embeddings/oleObject38.bin"/><Relationship Id="rId40" Type="http://schemas.openxmlformats.org/officeDocument/2006/relationships/image" Target="../media/image13.wmf"/><Relationship Id="rId45" Type="http://schemas.openxmlformats.org/officeDocument/2006/relationships/oleObject" Target="../embeddings/oleObject42.bin"/><Relationship Id="rId5" Type="http://schemas.openxmlformats.org/officeDocument/2006/relationships/image" Target="../media/image1.wmf"/><Relationship Id="rId15" Type="http://schemas.openxmlformats.org/officeDocument/2006/relationships/image" Target="../media/image8.wmf"/><Relationship Id="rId23" Type="http://schemas.openxmlformats.org/officeDocument/2006/relationships/oleObject" Target="../embeddings/oleObject31.bin"/><Relationship Id="rId28" Type="http://schemas.openxmlformats.org/officeDocument/2006/relationships/image" Target="../media/image11.wmf"/><Relationship Id="rId36" Type="http://schemas.openxmlformats.org/officeDocument/2006/relationships/image" Target="../media/image20.emf"/><Relationship Id="rId10" Type="http://schemas.openxmlformats.org/officeDocument/2006/relationships/oleObject" Target="../embeddings/oleObject24.bin"/><Relationship Id="rId19" Type="http://schemas.openxmlformats.org/officeDocument/2006/relationships/image" Target="../media/image10.wmf"/><Relationship Id="rId31" Type="http://schemas.openxmlformats.org/officeDocument/2006/relationships/oleObject" Target="../embeddings/oleObject35.bin"/><Relationship Id="rId44" Type="http://schemas.openxmlformats.org/officeDocument/2006/relationships/image" Target="../media/image15.wmf"/><Relationship Id="rId4" Type="http://schemas.openxmlformats.org/officeDocument/2006/relationships/oleObject" Target="../embeddings/oleObject21.bin"/><Relationship Id="rId9" Type="http://schemas.openxmlformats.org/officeDocument/2006/relationships/image" Target="../media/image4.wmf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0.bin"/><Relationship Id="rId27" Type="http://schemas.openxmlformats.org/officeDocument/2006/relationships/oleObject" Target="../embeddings/oleObject33.bin"/><Relationship Id="rId30" Type="http://schemas.openxmlformats.org/officeDocument/2006/relationships/image" Target="../media/image17.emf"/><Relationship Id="rId35" Type="http://schemas.openxmlformats.org/officeDocument/2006/relationships/oleObject" Target="../embeddings/oleObject37.bin"/><Relationship Id="rId43" Type="http://schemas.openxmlformats.org/officeDocument/2006/relationships/oleObject" Target="../embeddings/oleObject4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6.wmf"/><Relationship Id="rId18" Type="http://schemas.openxmlformats.org/officeDocument/2006/relationships/oleObject" Target="../embeddings/oleObject50.bin"/><Relationship Id="rId26" Type="http://schemas.openxmlformats.org/officeDocument/2006/relationships/oleObject" Target="../embeddings/oleObject55.bin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52.bin"/><Relationship Id="rId34" Type="http://schemas.openxmlformats.org/officeDocument/2006/relationships/oleObject" Target="../embeddings/oleObject60.bin"/><Relationship Id="rId42" Type="http://schemas.openxmlformats.org/officeDocument/2006/relationships/oleObject" Target="../embeddings/oleObject64.bin"/><Relationship Id="rId47" Type="http://schemas.openxmlformats.org/officeDocument/2006/relationships/image" Target="../media/image13.wmf"/><Relationship Id="rId50" Type="http://schemas.openxmlformats.org/officeDocument/2006/relationships/oleObject" Target="../embeddings/oleObject68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47.bin"/><Relationship Id="rId17" Type="http://schemas.openxmlformats.org/officeDocument/2006/relationships/image" Target="../media/image10.wmf"/><Relationship Id="rId25" Type="http://schemas.openxmlformats.org/officeDocument/2006/relationships/oleObject" Target="../embeddings/oleObject54.bin"/><Relationship Id="rId33" Type="http://schemas.openxmlformats.org/officeDocument/2006/relationships/oleObject" Target="../embeddings/oleObject59.bin"/><Relationship Id="rId38" Type="http://schemas.openxmlformats.org/officeDocument/2006/relationships/oleObject" Target="../embeddings/oleObject62.bin"/><Relationship Id="rId46" Type="http://schemas.openxmlformats.org/officeDocument/2006/relationships/oleObject" Target="../embeddings/oleObject66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49.bin"/><Relationship Id="rId20" Type="http://schemas.openxmlformats.org/officeDocument/2006/relationships/image" Target="../media/image29.wmf"/><Relationship Id="rId29" Type="http://schemas.openxmlformats.org/officeDocument/2006/relationships/image" Target="../media/image33.w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4.bin"/><Relationship Id="rId11" Type="http://schemas.openxmlformats.org/officeDocument/2006/relationships/image" Target="../media/image5.wmf"/><Relationship Id="rId24" Type="http://schemas.openxmlformats.org/officeDocument/2006/relationships/image" Target="../media/image31.wmf"/><Relationship Id="rId32" Type="http://schemas.openxmlformats.org/officeDocument/2006/relationships/oleObject" Target="../embeddings/oleObject58.bin"/><Relationship Id="rId37" Type="http://schemas.openxmlformats.org/officeDocument/2006/relationships/image" Target="../media/image17.emf"/><Relationship Id="rId40" Type="http://schemas.openxmlformats.org/officeDocument/2006/relationships/oleObject" Target="../embeddings/oleObject63.bin"/><Relationship Id="rId45" Type="http://schemas.openxmlformats.org/officeDocument/2006/relationships/image" Target="../media/image12.wmf"/><Relationship Id="rId53" Type="http://schemas.openxmlformats.org/officeDocument/2006/relationships/image" Target="../media/image16.wmf"/><Relationship Id="rId5" Type="http://schemas.openxmlformats.org/officeDocument/2006/relationships/image" Target="../media/image1.wmf"/><Relationship Id="rId15" Type="http://schemas.openxmlformats.org/officeDocument/2006/relationships/image" Target="../media/image9.wmf"/><Relationship Id="rId23" Type="http://schemas.openxmlformats.org/officeDocument/2006/relationships/oleObject" Target="../embeddings/oleObject53.bin"/><Relationship Id="rId28" Type="http://schemas.openxmlformats.org/officeDocument/2006/relationships/oleObject" Target="../embeddings/oleObject56.bin"/><Relationship Id="rId36" Type="http://schemas.openxmlformats.org/officeDocument/2006/relationships/oleObject" Target="../embeddings/oleObject61.bin"/><Relationship Id="rId49" Type="http://schemas.openxmlformats.org/officeDocument/2006/relationships/image" Target="../media/image14.wmf"/><Relationship Id="rId10" Type="http://schemas.openxmlformats.org/officeDocument/2006/relationships/oleObject" Target="../embeddings/oleObject46.bin"/><Relationship Id="rId19" Type="http://schemas.openxmlformats.org/officeDocument/2006/relationships/oleObject" Target="../embeddings/oleObject51.bin"/><Relationship Id="rId31" Type="http://schemas.openxmlformats.org/officeDocument/2006/relationships/image" Target="../media/image8.wmf"/><Relationship Id="rId44" Type="http://schemas.openxmlformats.org/officeDocument/2006/relationships/oleObject" Target="../embeddings/oleObject65.bin"/><Relationship Id="rId52" Type="http://schemas.openxmlformats.org/officeDocument/2006/relationships/oleObject" Target="../embeddings/oleObject69.bin"/><Relationship Id="rId4" Type="http://schemas.openxmlformats.org/officeDocument/2006/relationships/oleObject" Target="../embeddings/oleObject43.bin"/><Relationship Id="rId9" Type="http://schemas.openxmlformats.org/officeDocument/2006/relationships/image" Target="../media/image4.wmf"/><Relationship Id="rId14" Type="http://schemas.openxmlformats.org/officeDocument/2006/relationships/oleObject" Target="../embeddings/oleObject48.bin"/><Relationship Id="rId22" Type="http://schemas.openxmlformats.org/officeDocument/2006/relationships/image" Target="../media/image30.wmf"/><Relationship Id="rId27" Type="http://schemas.openxmlformats.org/officeDocument/2006/relationships/image" Target="../media/image32.wmf"/><Relationship Id="rId30" Type="http://schemas.openxmlformats.org/officeDocument/2006/relationships/oleObject" Target="../embeddings/oleObject57.bin"/><Relationship Id="rId35" Type="http://schemas.openxmlformats.org/officeDocument/2006/relationships/image" Target="../media/image11.wmf"/><Relationship Id="rId43" Type="http://schemas.openxmlformats.org/officeDocument/2006/relationships/image" Target="../media/image20.emf"/><Relationship Id="rId48" Type="http://schemas.openxmlformats.org/officeDocument/2006/relationships/oleObject" Target="../embeddings/oleObject67.bin"/><Relationship Id="rId8" Type="http://schemas.openxmlformats.org/officeDocument/2006/relationships/oleObject" Target="../embeddings/oleObject45.bin"/><Relationship Id="rId51" Type="http://schemas.openxmlformats.org/officeDocument/2006/relationships/image" Target="../media/image15.wmf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36.wmf"/><Relationship Id="rId18" Type="http://schemas.openxmlformats.org/officeDocument/2006/relationships/oleObject" Target="../embeddings/oleObject77.bin"/><Relationship Id="rId26" Type="http://schemas.openxmlformats.org/officeDocument/2006/relationships/oleObject" Target="../embeddings/oleObject81.bin"/><Relationship Id="rId39" Type="http://schemas.openxmlformats.org/officeDocument/2006/relationships/image" Target="../media/image11.wmf"/><Relationship Id="rId21" Type="http://schemas.openxmlformats.org/officeDocument/2006/relationships/image" Target="../media/image40.wmf"/><Relationship Id="rId34" Type="http://schemas.openxmlformats.org/officeDocument/2006/relationships/oleObject" Target="../embeddings/oleObject85.bin"/><Relationship Id="rId42" Type="http://schemas.openxmlformats.org/officeDocument/2006/relationships/oleObject" Target="../embeddings/oleObject89.bin"/><Relationship Id="rId47" Type="http://schemas.openxmlformats.org/officeDocument/2006/relationships/image" Target="../media/image20.emf"/><Relationship Id="rId50" Type="http://schemas.openxmlformats.org/officeDocument/2006/relationships/oleObject" Target="../embeddings/oleObject93.bin"/><Relationship Id="rId55" Type="http://schemas.openxmlformats.org/officeDocument/2006/relationships/image" Target="../media/image15.wmf"/><Relationship Id="rId7" Type="http://schemas.openxmlformats.org/officeDocument/2006/relationships/image" Target="../media/image4.wmf"/><Relationship Id="rId12" Type="http://schemas.openxmlformats.org/officeDocument/2006/relationships/oleObject" Target="../embeddings/oleObject74.bin"/><Relationship Id="rId17" Type="http://schemas.openxmlformats.org/officeDocument/2006/relationships/image" Target="../media/image38.wmf"/><Relationship Id="rId25" Type="http://schemas.openxmlformats.org/officeDocument/2006/relationships/image" Target="../media/image42.wmf"/><Relationship Id="rId33" Type="http://schemas.openxmlformats.org/officeDocument/2006/relationships/image" Target="../media/image46.wmf"/><Relationship Id="rId38" Type="http://schemas.openxmlformats.org/officeDocument/2006/relationships/oleObject" Target="../embeddings/oleObject87.bin"/><Relationship Id="rId46" Type="http://schemas.openxmlformats.org/officeDocument/2006/relationships/oleObject" Target="../embeddings/oleObject91.bin"/><Relationship Id="rId2" Type="http://schemas.openxmlformats.org/officeDocument/2006/relationships/drawing" Target="../drawings/drawing4.xml"/><Relationship Id="rId16" Type="http://schemas.openxmlformats.org/officeDocument/2006/relationships/oleObject" Target="../embeddings/oleObject76.bin"/><Relationship Id="rId20" Type="http://schemas.openxmlformats.org/officeDocument/2006/relationships/oleObject" Target="../embeddings/oleObject78.bin"/><Relationship Id="rId29" Type="http://schemas.openxmlformats.org/officeDocument/2006/relationships/image" Target="../media/image44.wmf"/><Relationship Id="rId41" Type="http://schemas.openxmlformats.org/officeDocument/2006/relationships/image" Target="../media/image17.emf"/><Relationship Id="rId54" Type="http://schemas.openxmlformats.org/officeDocument/2006/relationships/oleObject" Target="../embeddings/oleObject95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71.bin"/><Relationship Id="rId11" Type="http://schemas.openxmlformats.org/officeDocument/2006/relationships/image" Target="../media/image8.wmf"/><Relationship Id="rId24" Type="http://schemas.openxmlformats.org/officeDocument/2006/relationships/oleObject" Target="../embeddings/oleObject80.bin"/><Relationship Id="rId32" Type="http://schemas.openxmlformats.org/officeDocument/2006/relationships/oleObject" Target="../embeddings/oleObject84.bin"/><Relationship Id="rId37" Type="http://schemas.openxmlformats.org/officeDocument/2006/relationships/image" Target="../media/image7.wmf"/><Relationship Id="rId40" Type="http://schemas.openxmlformats.org/officeDocument/2006/relationships/oleObject" Target="../embeddings/oleObject88.bin"/><Relationship Id="rId45" Type="http://schemas.openxmlformats.org/officeDocument/2006/relationships/image" Target="../media/image19.emf"/><Relationship Id="rId53" Type="http://schemas.openxmlformats.org/officeDocument/2006/relationships/image" Target="../media/image14.wmf"/><Relationship Id="rId5" Type="http://schemas.openxmlformats.org/officeDocument/2006/relationships/image" Target="../media/image1.wmf"/><Relationship Id="rId15" Type="http://schemas.openxmlformats.org/officeDocument/2006/relationships/image" Target="../media/image37.wmf"/><Relationship Id="rId23" Type="http://schemas.openxmlformats.org/officeDocument/2006/relationships/image" Target="../media/image41.wmf"/><Relationship Id="rId28" Type="http://schemas.openxmlformats.org/officeDocument/2006/relationships/oleObject" Target="../embeddings/oleObject82.bin"/><Relationship Id="rId36" Type="http://schemas.openxmlformats.org/officeDocument/2006/relationships/oleObject" Target="../embeddings/oleObject86.bin"/><Relationship Id="rId49" Type="http://schemas.openxmlformats.org/officeDocument/2006/relationships/image" Target="../media/image12.wmf"/><Relationship Id="rId57" Type="http://schemas.openxmlformats.org/officeDocument/2006/relationships/image" Target="../media/image16.wmf"/><Relationship Id="rId10" Type="http://schemas.openxmlformats.org/officeDocument/2006/relationships/oleObject" Target="../embeddings/oleObject73.bin"/><Relationship Id="rId19" Type="http://schemas.openxmlformats.org/officeDocument/2006/relationships/image" Target="../media/image39.wmf"/><Relationship Id="rId31" Type="http://schemas.openxmlformats.org/officeDocument/2006/relationships/image" Target="../media/image45.wmf"/><Relationship Id="rId44" Type="http://schemas.openxmlformats.org/officeDocument/2006/relationships/oleObject" Target="../embeddings/oleObject90.bin"/><Relationship Id="rId52" Type="http://schemas.openxmlformats.org/officeDocument/2006/relationships/oleObject" Target="../embeddings/oleObject94.bin"/><Relationship Id="rId4" Type="http://schemas.openxmlformats.org/officeDocument/2006/relationships/oleObject" Target="../embeddings/oleObject70.bin"/><Relationship Id="rId9" Type="http://schemas.openxmlformats.org/officeDocument/2006/relationships/image" Target="../media/image6.wmf"/><Relationship Id="rId14" Type="http://schemas.openxmlformats.org/officeDocument/2006/relationships/oleObject" Target="../embeddings/oleObject75.bin"/><Relationship Id="rId22" Type="http://schemas.openxmlformats.org/officeDocument/2006/relationships/oleObject" Target="../embeddings/oleObject79.bin"/><Relationship Id="rId27" Type="http://schemas.openxmlformats.org/officeDocument/2006/relationships/image" Target="../media/image43.wmf"/><Relationship Id="rId30" Type="http://schemas.openxmlformats.org/officeDocument/2006/relationships/oleObject" Target="../embeddings/oleObject83.bin"/><Relationship Id="rId35" Type="http://schemas.openxmlformats.org/officeDocument/2006/relationships/image" Target="../media/image47.wmf"/><Relationship Id="rId43" Type="http://schemas.openxmlformats.org/officeDocument/2006/relationships/image" Target="../media/image18.emf"/><Relationship Id="rId48" Type="http://schemas.openxmlformats.org/officeDocument/2006/relationships/oleObject" Target="../embeddings/oleObject92.bin"/><Relationship Id="rId56" Type="http://schemas.openxmlformats.org/officeDocument/2006/relationships/oleObject" Target="../embeddings/oleObject96.bin"/><Relationship Id="rId8" Type="http://schemas.openxmlformats.org/officeDocument/2006/relationships/oleObject" Target="../embeddings/oleObject72.bin"/><Relationship Id="rId51" Type="http://schemas.openxmlformats.org/officeDocument/2006/relationships/image" Target="../media/image13.wmf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2.wmf"/><Relationship Id="rId4" Type="http://schemas.openxmlformats.org/officeDocument/2006/relationships/oleObject" Target="../embeddings/oleObject9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1"/>
  <sheetViews>
    <sheetView topLeftCell="A127" zoomScaleNormal="100" workbookViewId="0">
      <selection activeCell="H76" sqref="H76"/>
    </sheetView>
  </sheetViews>
  <sheetFormatPr defaultRowHeight="15.75" x14ac:dyDescent="0.25"/>
  <cols>
    <col min="1" max="1" width="8.140625" style="2" customWidth="1"/>
    <col min="2" max="2" width="6.42578125" style="2" customWidth="1"/>
    <col min="3" max="3" width="9" style="2" customWidth="1"/>
    <col min="4" max="4" width="8.28515625" style="2" customWidth="1"/>
    <col min="5" max="5" width="18.140625" style="2" customWidth="1"/>
    <col min="6" max="6" width="5" style="2" customWidth="1"/>
    <col min="7" max="7" width="32" style="2" customWidth="1"/>
    <col min="8" max="8" width="32.140625" style="2" customWidth="1"/>
    <col min="9" max="9" width="20.85546875" style="2" customWidth="1"/>
    <col min="10" max="10" width="20.7109375" style="2" customWidth="1"/>
    <col min="11" max="11" width="10" style="2" customWidth="1"/>
    <col min="12" max="16384" width="9.140625" style="2"/>
  </cols>
  <sheetData>
    <row r="1" spans="1:16" ht="32.25" customHeight="1" x14ac:dyDescent="0.25">
      <c r="A1" s="93" t="s">
        <v>7</v>
      </c>
      <c r="B1" s="93"/>
      <c r="C1" s="93"/>
      <c r="D1" s="93"/>
      <c r="E1" s="93"/>
      <c r="F1" s="93"/>
      <c r="G1" s="93"/>
      <c r="I1" s="88"/>
      <c r="J1" s="88"/>
      <c r="K1" s="88"/>
      <c r="L1" s="88"/>
      <c r="M1" s="88"/>
      <c r="N1" s="88"/>
      <c r="O1" s="88"/>
      <c r="P1" s="88"/>
    </row>
    <row r="2" spans="1:16" x14ac:dyDescent="0.25">
      <c r="I2" s="86"/>
      <c r="J2" s="87"/>
      <c r="K2" s="87"/>
      <c r="L2" s="87"/>
      <c r="M2" s="87"/>
      <c r="N2" s="87"/>
      <c r="O2" s="87"/>
      <c r="P2" s="87"/>
    </row>
    <row r="3" spans="1:16" x14ac:dyDescent="0.25">
      <c r="A3" s="2" t="s">
        <v>0</v>
      </c>
      <c r="I3" s="86"/>
      <c r="J3" s="11"/>
      <c r="K3" s="11"/>
      <c r="L3" s="11"/>
      <c r="M3" s="11"/>
      <c r="N3" s="11"/>
      <c r="O3" s="11"/>
      <c r="P3" s="11"/>
    </row>
    <row r="4" spans="1:16" ht="39" customHeight="1" x14ac:dyDescent="0.25">
      <c r="A4" s="3"/>
      <c r="B4" s="95" t="s">
        <v>5</v>
      </c>
      <c r="C4" s="95"/>
      <c r="D4" s="95"/>
      <c r="E4" s="95"/>
      <c r="F4" s="95"/>
      <c r="G4" s="7"/>
      <c r="I4" s="38"/>
      <c r="J4" s="11"/>
      <c r="K4" s="11"/>
      <c r="L4" s="11"/>
      <c r="M4" s="11"/>
      <c r="N4" s="11"/>
      <c r="O4" s="11"/>
      <c r="P4" s="11"/>
    </row>
    <row r="5" spans="1:16" ht="38.25" customHeight="1" x14ac:dyDescent="0.25">
      <c r="A5" s="3"/>
      <c r="B5" s="95" t="s">
        <v>4</v>
      </c>
      <c r="C5" s="95"/>
      <c r="D5" s="95"/>
      <c r="E5" s="95"/>
      <c r="F5" s="95"/>
      <c r="G5" s="8"/>
      <c r="I5" s="38"/>
      <c r="J5" s="11"/>
      <c r="K5" s="11"/>
      <c r="L5" s="11"/>
      <c r="M5" s="11"/>
      <c r="N5" s="11"/>
      <c r="O5" s="11"/>
      <c r="P5" s="11"/>
    </row>
    <row r="6" spans="1:16" ht="66.75" customHeight="1" x14ac:dyDescent="0.25">
      <c r="A6" s="3"/>
      <c r="B6" s="95" t="s">
        <v>10</v>
      </c>
      <c r="C6" s="95"/>
      <c r="D6" s="95"/>
      <c r="E6" s="95"/>
      <c r="F6" s="95"/>
      <c r="G6" s="8"/>
      <c r="I6" s="38"/>
      <c r="J6" s="11"/>
      <c r="K6" s="11"/>
      <c r="L6" s="11"/>
      <c r="M6" s="11"/>
      <c r="N6" s="11"/>
      <c r="O6" s="11"/>
      <c r="P6" s="11"/>
    </row>
    <row r="7" spans="1:16" ht="50.25" customHeight="1" x14ac:dyDescent="0.25">
      <c r="A7" s="3"/>
      <c r="B7" s="95" t="s">
        <v>232</v>
      </c>
      <c r="C7" s="95"/>
      <c r="D7" s="95"/>
      <c r="E7" s="95"/>
      <c r="F7" s="95"/>
      <c r="G7" s="8"/>
      <c r="I7" s="38"/>
      <c r="J7" s="11"/>
      <c r="K7" s="11"/>
      <c r="L7" s="11"/>
      <c r="M7" s="11"/>
      <c r="N7" s="11"/>
      <c r="O7" s="11"/>
      <c r="P7" s="11"/>
    </row>
    <row r="8" spans="1:16" ht="19.5" customHeight="1" x14ac:dyDescent="0.25">
      <c r="A8" s="3"/>
      <c r="B8" s="94"/>
      <c r="C8" s="94"/>
      <c r="D8" s="6"/>
      <c r="E8" s="6"/>
      <c r="F8" s="6"/>
      <c r="G8" s="9" t="s">
        <v>9</v>
      </c>
      <c r="I8" s="38"/>
      <c r="J8" s="11"/>
      <c r="K8" s="11"/>
      <c r="L8" s="11"/>
      <c r="M8" s="11"/>
      <c r="N8" s="11"/>
      <c r="O8" s="11"/>
      <c r="P8" s="11"/>
    </row>
    <row r="9" spans="1:16" x14ac:dyDescent="0.25">
      <c r="A9" s="2" t="s">
        <v>1</v>
      </c>
      <c r="I9" s="38"/>
      <c r="J9" s="11"/>
      <c r="K9" s="11"/>
      <c r="L9" s="11"/>
      <c r="M9" s="11"/>
      <c r="N9" s="11"/>
      <c r="O9" s="11"/>
      <c r="P9" s="11"/>
    </row>
    <row r="10" spans="1:16" x14ac:dyDescent="0.25">
      <c r="I10" s="38"/>
      <c r="J10" s="11"/>
      <c r="K10" s="11"/>
      <c r="L10" s="11"/>
      <c r="M10" s="11"/>
      <c r="N10" s="11"/>
      <c r="O10" s="11"/>
      <c r="P10" s="11"/>
    </row>
    <row r="11" spans="1:16" x14ac:dyDescent="0.25">
      <c r="A11" s="92" t="s">
        <v>2</v>
      </c>
      <c r="B11" s="92"/>
      <c r="C11" s="92"/>
      <c r="D11" s="92"/>
      <c r="E11" s="10" t="s">
        <v>3</v>
      </c>
      <c r="I11" s="38"/>
      <c r="J11" s="11"/>
      <c r="K11" s="11"/>
      <c r="L11" s="11"/>
      <c r="M11" s="11"/>
      <c r="N11" s="11"/>
      <c r="O11" s="11"/>
      <c r="P11" s="11"/>
    </row>
    <row r="12" spans="1:16" x14ac:dyDescent="0.25">
      <c r="A12" s="92" t="s">
        <v>6</v>
      </c>
      <c r="B12" s="92"/>
      <c r="C12" s="92"/>
      <c r="D12" s="92"/>
      <c r="E12" s="13">
        <v>6</v>
      </c>
      <c r="I12" s="38"/>
      <c r="J12" s="11"/>
      <c r="K12" s="11"/>
      <c r="L12" s="11"/>
      <c r="M12" s="11"/>
      <c r="N12" s="11"/>
      <c r="O12" s="11"/>
      <c r="P12" s="11"/>
    </row>
    <row r="13" spans="1:16" x14ac:dyDescent="0.25">
      <c r="A13" s="107" t="s">
        <v>70</v>
      </c>
      <c r="B13" s="108"/>
      <c r="C13" s="108"/>
      <c r="D13" s="109"/>
      <c r="E13" s="13">
        <v>1.5</v>
      </c>
      <c r="I13" s="38"/>
      <c r="J13" s="11"/>
      <c r="K13" s="11"/>
      <c r="L13" s="11"/>
      <c r="M13" s="11"/>
      <c r="N13" s="11"/>
      <c r="O13" s="11"/>
      <c r="P13" s="11"/>
    </row>
    <row r="14" spans="1:16" ht="32.25" customHeight="1" x14ac:dyDescent="0.25">
      <c r="A14" s="89" t="s">
        <v>295</v>
      </c>
      <c r="B14" s="90"/>
      <c r="C14" s="90"/>
      <c r="D14" s="91"/>
      <c r="E14" s="13">
        <v>320</v>
      </c>
      <c r="I14" s="38"/>
      <c r="J14" s="11"/>
      <c r="K14" s="11"/>
      <c r="L14" s="11"/>
      <c r="M14" s="11"/>
      <c r="N14" s="11"/>
      <c r="O14" s="11"/>
      <c r="P14" s="11"/>
    </row>
    <row r="15" spans="1:16" ht="18.75" x14ac:dyDescent="0.35">
      <c r="A15" s="92" t="s">
        <v>68</v>
      </c>
      <c r="B15" s="92"/>
      <c r="C15" s="92"/>
      <c r="D15" s="92"/>
      <c r="E15" s="13">
        <v>26</v>
      </c>
      <c r="I15" s="38"/>
      <c r="J15" s="11"/>
      <c r="K15" s="11"/>
      <c r="L15" s="11"/>
      <c r="M15" s="11"/>
      <c r="N15" s="11"/>
      <c r="O15" s="11"/>
      <c r="P15" s="11"/>
    </row>
    <row r="16" spans="1:16" ht="17.25" x14ac:dyDescent="0.3">
      <c r="A16" s="92" t="s">
        <v>11</v>
      </c>
      <c r="B16" s="92"/>
      <c r="C16" s="92"/>
      <c r="D16" s="92"/>
      <c r="E16" s="13">
        <v>6</v>
      </c>
      <c r="I16" s="38"/>
      <c r="J16" s="11"/>
      <c r="K16" s="11"/>
      <c r="L16" s="11"/>
      <c r="M16" s="11"/>
      <c r="N16" s="11"/>
      <c r="O16" s="11"/>
      <c r="P16" s="11"/>
    </row>
    <row r="17" spans="1:16" ht="29.25" customHeight="1" x14ac:dyDescent="0.25">
      <c r="A17" s="96" t="s">
        <v>23</v>
      </c>
      <c r="B17" s="96"/>
      <c r="C17" s="96"/>
      <c r="D17" s="96"/>
      <c r="E17" s="13">
        <v>240</v>
      </c>
      <c r="I17" s="38"/>
      <c r="J17" s="11"/>
      <c r="K17" s="11"/>
      <c r="L17" s="11"/>
      <c r="M17" s="11"/>
      <c r="N17" s="11"/>
      <c r="O17" s="11"/>
      <c r="P17" s="11"/>
    </row>
    <row r="18" spans="1:16" ht="29.25" customHeight="1" x14ac:dyDescent="0.25">
      <c r="A18" s="89" t="s">
        <v>281</v>
      </c>
      <c r="B18" s="90"/>
      <c r="C18" s="90"/>
      <c r="D18" s="91"/>
      <c r="E18" s="13">
        <f>0.58*E17</f>
        <v>139.19999999999999</v>
      </c>
      <c r="I18" s="78"/>
      <c r="J18" s="11"/>
      <c r="K18" s="11"/>
      <c r="L18" s="11"/>
      <c r="M18" s="11"/>
      <c r="N18" s="11"/>
      <c r="O18" s="11"/>
      <c r="P18" s="11"/>
    </row>
    <row r="19" spans="1:16" x14ac:dyDescent="0.25">
      <c r="A19" s="92" t="s">
        <v>20</v>
      </c>
      <c r="B19" s="92"/>
      <c r="C19" s="92"/>
      <c r="D19" s="92"/>
      <c r="E19" s="13">
        <v>0.9</v>
      </c>
      <c r="I19" s="38"/>
      <c r="J19" s="11"/>
      <c r="K19" s="11"/>
      <c r="L19" s="11"/>
      <c r="M19" s="11"/>
      <c r="N19" s="11"/>
      <c r="O19" s="11"/>
      <c r="P19" s="11"/>
    </row>
    <row r="20" spans="1:16" ht="21" customHeight="1" x14ac:dyDescent="0.25">
      <c r="A20" s="92" t="s">
        <v>17</v>
      </c>
      <c r="B20" s="92"/>
      <c r="C20" s="92"/>
      <c r="D20" s="92"/>
      <c r="E20" s="13" t="s">
        <v>215</v>
      </c>
      <c r="I20" s="38"/>
      <c r="J20" s="11"/>
      <c r="K20" s="11"/>
      <c r="L20" s="11"/>
      <c r="M20" s="11"/>
      <c r="N20" s="11"/>
      <c r="O20" s="11"/>
      <c r="P20" s="11"/>
    </row>
    <row r="21" spans="1:16" ht="18.75" x14ac:dyDescent="0.35">
      <c r="A21" s="92" t="s">
        <v>69</v>
      </c>
      <c r="B21" s="92"/>
      <c r="C21" s="92"/>
      <c r="D21" s="92"/>
      <c r="E21" s="13">
        <f>INDEX('Геом. характеристики швеллера'!I6:I41,MATCH('без учета бимомента и без тяжей'!E20,'Геом. характеристики швеллера'!A6:A41,0))</f>
        <v>21</v>
      </c>
      <c r="I21" s="38"/>
      <c r="J21" s="11"/>
      <c r="K21" s="11"/>
      <c r="L21" s="11"/>
      <c r="M21" s="11"/>
      <c r="N21" s="11"/>
      <c r="O21" s="11"/>
      <c r="P21" s="11"/>
    </row>
    <row r="22" spans="1:16" x14ac:dyDescent="0.25">
      <c r="A22" s="107" t="s">
        <v>44</v>
      </c>
      <c r="B22" s="108"/>
      <c r="C22" s="108"/>
      <c r="D22" s="109"/>
      <c r="E22" s="13">
        <f>INDEX('Геом. характеристики швеллера'!B6:B41,MATCH('без учета бимомента и без тяжей'!E20,'Геом. характеристики швеллера'!A6:A41,0))</f>
        <v>220</v>
      </c>
      <c r="I22" s="78"/>
      <c r="J22" s="11"/>
      <c r="K22" s="11"/>
      <c r="L22" s="11"/>
      <c r="M22" s="11"/>
      <c r="N22" s="11"/>
      <c r="O22" s="11"/>
      <c r="P22" s="11"/>
    </row>
    <row r="23" spans="1:16" x14ac:dyDescent="0.25">
      <c r="A23" s="107" t="s">
        <v>45</v>
      </c>
      <c r="B23" s="108"/>
      <c r="C23" s="108"/>
      <c r="D23" s="109"/>
      <c r="E23" s="13">
        <f>INDEX('Геом. характеристики швеллера'!C6:C41,MATCH('без учета бимомента и без тяжей'!E20,'Геом. характеристики швеллера'!A6:A41,0))</f>
        <v>82</v>
      </c>
      <c r="I23" s="78"/>
      <c r="J23" s="11"/>
      <c r="K23" s="11"/>
      <c r="L23" s="11"/>
      <c r="M23" s="11"/>
      <c r="N23" s="11"/>
      <c r="O23" s="11"/>
      <c r="P23" s="11"/>
    </row>
    <row r="24" spans="1:16" ht="18.75" x14ac:dyDescent="0.35">
      <c r="A24" s="107" t="s">
        <v>271</v>
      </c>
      <c r="B24" s="108"/>
      <c r="C24" s="108"/>
      <c r="D24" s="109"/>
      <c r="E24" s="13">
        <f>INDEX('Геом. характеристики швеллера'!D6:D41,MATCH('без учета бимомента и без тяжей'!E20,'Геом. характеристики швеллера'!A6:A41,0))</f>
        <v>5.4</v>
      </c>
      <c r="I24" s="78"/>
      <c r="J24" s="11"/>
      <c r="K24" s="11"/>
      <c r="L24" s="11"/>
      <c r="M24" s="11"/>
      <c r="N24" s="11"/>
      <c r="O24" s="11"/>
      <c r="P24" s="11"/>
    </row>
    <row r="25" spans="1:16" x14ac:dyDescent="0.25">
      <c r="A25" s="107" t="s">
        <v>285</v>
      </c>
      <c r="B25" s="108"/>
      <c r="C25" s="108"/>
      <c r="D25" s="109"/>
      <c r="E25" s="13">
        <f>INDEX('Геом. характеристики швеллера'!E6:E41,MATCH('без учета бимомента и без тяжей'!E20,'Геом. характеристики швеллера'!A6:A41,0))</f>
        <v>9.5</v>
      </c>
      <c r="I25" s="78"/>
      <c r="J25" s="11"/>
      <c r="K25" s="11"/>
      <c r="L25" s="11"/>
      <c r="M25" s="11"/>
      <c r="N25" s="11"/>
      <c r="O25" s="11"/>
      <c r="P25" s="11"/>
    </row>
    <row r="26" spans="1:16" ht="33" customHeight="1" x14ac:dyDescent="0.25">
      <c r="A26" s="89" t="s">
        <v>272</v>
      </c>
      <c r="B26" s="90"/>
      <c r="C26" s="90"/>
      <c r="D26" s="91"/>
      <c r="E26" s="13">
        <f>INDEX('Геом. характеристики швеллера'!M6:M41,MATCH('без учета бимомента и без тяжей'!E20,'Геом. характеристики швеллера'!A6:A41,0))</f>
        <v>111</v>
      </c>
      <c r="I26" s="78"/>
      <c r="J26" s="11"/>
      <c r="K26" s="11"/>
      <c r="L26" s="11"/>
      <c r="M26" s="11"/>
      <c r="N26" s="11"/>
      <c r="O26" s="11"/>
      <c r="P26" s="11"/>
    </row>
    <row r="27" spans="1:16" ht="17.25" customHeight="1" x14ac:dyDescent="0.25">
      <c r="A27" s="89" t="s">
        <v>270</v>
      </c>
      <c r="B27" s="90"/>
      <c r="C27" s="90"/>
      <c r="D27" s="91"/>
      <c r="E27" s="13">
        <f>INDEX('Геом. характеристики швеллера'!J6:J41,MATCH('без учета бимомента и без тяжей'!E20,'Геом. характеристики швеллера'!A6:A41,0))</f>
        <v>2120</v>
      </c>
      <c r="I27" s="78"/>
      <c r="J27" s="11"/>
      <c r="K27" s="11"/>
      <c r="L27" s="11"/>
      <c r="M27" s="11"/>
      <c r="N27" s="11"/>
      <c r="O27" s="11"/>
      <c r="P27" s="11"/>
    </row>
    <row r="28" spans="1:16" ht="34.5" customHeight="1" x14ac:dyDescent="0.25">
      <c r="A28" s="96" t="s">
        <v>16</v>
      </c>
      <c r="B28" s="96"/>
      <c r="C28" s="96"/>
      <c r="D28" s="96"/>
      <c r="E28" s="13">
        <f>INDEX('Геом. характеристики швеллера'!K6:K41,MATCH('без учета бимомента и без тяжей'!E20,'Геом. характеристики швеллера'!A6:A41,0))</f>
        <v>193</v>
      </c>
      <c r="I28" s="38"/>
      <c r="J28" s="11"/>
      <c r="K28" s="11"/>
      <c r="L28" s="11"/>
      <c r="M28" s="11"/>
      <c r="N28" s="11"/>
      <c r="O28" s="11"/>
      <c r="P28" s="11"/>
    </row>
    <row r="29" spans="1:16" ht="34.5" customHeight="1" x14ac:dyDescent="0.25">
      <c r="A29" s="96" t="s">
        <v>19</v>
      </c>
      <c r="B29" s="96"/>
      <c r="C29" s="96"/>
      <c r="D29" s="96"/>
      <c r="E29" s="13">
        <f>INDEX('Геом. характеристики швеллера'!O6:O41,MATCH('без учета бимомента и без тяжей'!E20,'Геом. характеристики швеллера'!A6:A41,0))</f>
        <v>31</v>
      </c>
      <c r="I29" s="38"/>
      <c r="J29" s="11"/>
      <c r="K29" s="11"/>
      <c r="L29" s="11"/>
      <c r="M29" s="11"/>
      <c r="N29" s="11"/>
      <c r="O29" s="11"/>
      <c r="P29" s="11"/>
    </row>
    <row r="30" spans="1:16" ht="22.5" customHeight="1" x14ac:dyDescent="0.25">
      <c r="I30" s="38"/>
      <c r="J30" s="11"/>
      <c r="K30" s="11"/>
      <c r="L30" s="11"/>
      <c r="M30" s="11"/>
      <c r="N30" s="11"/>
      <c r="O30" s="11"/>
      <c r="P30" s="11"/>
    </row>
    <row r="31" spans="1:16" x14ac:dyDescent="0.25">
      <c r="A31" s="2" t="s">
        <v>8</v>
      </c>
      <c r="I31" s="38"/>
      <c r="J31" s="11"/>
      <c r="K31" s="11"/>
      <c r="L31" s="11"/>
      <c r="M31" s="11"/>
      <c r="N31" s="11"/>
      <c r="O31" s="11"/>
      <c r="P31" s="11"/>
    </row>
    <row r="32" spans="1:16" x14ac:dyDescent="0.25">
      <c r="I32" s="38"/>
      <c r="J32" s="11"/>
      <c r="K32" s="11"/>
      <c r="L32" s="11"/>
      <c r="M32" s="11"/>
      <c r="N32" s="11"/>
      <c r="O32" s="11"/>
      <c r="P32" s="11"/>
    </row>
    <row r="33" spans="1:16" x14ac:dyDescent="0.25">
      <c r="A33" s="11" t="s">
        <v>34</v>
      </c>
      <c r="B33" s="11"/>
      <c r="I33" s="38"/>
      <c r="J33" s="11"/>
      <c r="K33" s="11"/>
      <c r="L33" s="11"/>
      <c r="M33" s="11"/>
      <c r="N33" s="11"/>
      <c r="O33" s="11"/>
      <c r="P33" s="11"/>
    </row>
    <row r="34" spans="1:16" x14ac:dyDescent="0.25">
      <c r="A34" s="11"/>
      <c r="B34" s="11"/>
      <c r="I34" s="38"/>
      <c r="J34" s="11"/>
      <c r="K34" s="11"/>
      <c r="L34" s="11"/>
      <c r="M34" s="11"/>
      <c r="N34" s="11"/>
      <c r="O34" s="11"/>
      <c r="P34" s="11"/>
    </row>
    <row r="35" spans="1:16" x14ac:dyDescent="0.25">
      <c r="A35" s="92" t="s">
        <v>39</v>
      </c>
      <c r="B35" s="92"/>
      <c r="C35" s="92"/>
      <c r="D35" s="92"/>
      <c r="E35" s="12" t="s">
        <v>3</v>
      </c>
      <c r="I35" s="38"/>
      <c r="J35" s="11"/>
      <c r="K35" s="11"/>
      <c r="L35" s="11"/>
      <c r="M35" s="11"/>
      <c r="N35" s="11"/>
      <c r="O35" s="11"/>
      <c r="P35" s="11"/>
    </row>
    <row r="36" spans="1:16" ht="18.75" x14ac:dyDescent="0.35">
      <c r="A36" s="92" t="s">
        <v>35</v>
      </c>
      <c r="B36" s="92"/>
      <c r="C36" s="92"/>
      <c r="D36" s="92"/>
      <c r="E36" s="14">
        <f>E14*E13</f>
        <v>480</v>
      </c>
      <c r="I36" s="38"/>
      <c r="J36" s="11"/>
      <c r="K36" s="11"/>
      <c r="L36" s="11"/>
      <c r="M36" s="11"/>
      <c r="N36" s="11"/>
      <c r="O36" s="11"/>
      <c r="P36" s="11"/>
    </row>
    <row r="37" spans="1:16" ht="18.75" x14ac:dyDescent="0.35">
      <c r="A37" s="92" t="s">
        <v>36</v>
      </c>
      <c r="B37" s="92"/>
      <c r="C37" s="92"/>
      <c r="D37" s="92"/>
      <c r="E37" s="14">
        <f>E15*E13</f>
        <v>39</v>
      </c>
      <c r="I37" s="38"/>
      <c r="J37" s="11"/>
      <c r="K37" s="11"/>
      <c r="L37" s="11"/>
      <c r="M37" s="11"/>
      <c r="N37" s="11"/>
      <c r="O37" s="11"/>
      <c r="P37" s="11"/>
    </row>
    <row r="38" spans="1:16" ht="18.75" x14ac:dyDescent="0.35">
      <c r="A38" s="92" t="s">
        <v>38</v>
      </c>
      <c r="B38" s="92"/>
      <c r="C38" s="92"/>
      <c r="D38" s="92"/>
      <c r="E38" s="37">
        <f>E21</f>
        <v>21</v>
      </c>
      <c r="I38" s="38"/>
      <c r="J38" s="11"/>
      <c r="K38" s="11"/>
      <c r="L38" s="11"/>
      <c r="M38" s="11"/>
      <c r="N38" s="11"/>
      <c r="O38" s="11"/>
      <c r="P38" s="11"/>
    </row>
    <row r="39" spans="1:16" x14ac:dyDescent="0.25">
      <c r="A39" s="92" t="s">
        <v>37</v>
      </c>
      <c r="B39" s="92"/>
      <c r="C39" s="92"/>
      <c r="D39" s="92"/>
      <c r="E39" s="14">
        <f>SUM(E36:E38)</f>
        <v>540</v>
      </c>
      <c r="I39" s="38"/>
      <c r="J39" s="11"/>
      <c r="K39" s="11"/>
      <c r="L39" s="11"/>
      <c r="M39" s="11"/>
      <c r="N39" s="11"/>
      <c r="O39" s="11"/>
      <c r="P39" s="11"/>
    </row>
    <row r="40" spans="1:16" x14ac:dyDescent="0.25">
      <c r="I40" s="38"/>
      <c r="J40" s="11"/>
      <c r="K40" s="11"/>
      <c r="L40" s="11"/>
      <c r="M40" s="11"/>
      <c r="N40" s="11"/>
      <c r="O40" s="11"/>
      <c r="P40" s="11"/>
    </row>
    <row r="41" spans="1:16" x14ac:dyDescent="0.25">
      <c r="A41" s="2" t="s">
        <v>267</v>
      </c>
      <c r="I41" s="38"/>
      <c r="J41" s="11"/>
      <c r="K41" s="11"/>
      <c r="L41" s="11"/>
      <c r="M41" s="11"/>
      <c r="N41" s="11"/>
      <c r="O41" s="11"/>
      <c r="P41" s="11"/>
    </row>
    <row r="42" spans="1:16" ht="34.5" customHeight="1" x14ac:dyDescent="0.3">
      <c r="A42" s="111" t="s">
        <v>12</v>
      </c>
      <c r="B42" s="111"/>
      <c r="C42" s="111"/>
      <c r="D42" s="111"/>
      <c r="E42" s="111"/>
      <c r="F42" s="111"/>
      <c r="G42" s="111"/>
      <c r="I42" s="38"/>
      <c r="J42" s="11"/>
      <c r="K42" s="11"/>
      <c r="L42" s="11"/>
      <c r="M42" s="11"/>
      <c r="N42" s="11"/>
      <c r="O42" s="11"/>
      <c r="P42" s="11"/>
    </row>
    <row r="43" spans="1:16" ht="16.5" x14ac:dyDescent="0.3">
      <c r="B43" s="4"/>
      <c r="I43" s="38"/>
      <c r="J43" s="11"/>
      <c r="K43" s="11"/>
      <c r="L43" s="11"/>
      <c r="M43" s="11"/>
      <c r="N43" s="11"/>
      <c r="O43" s="11"/>
      <c r="P43" s="11"/>
    </row>
    <row r="44" spans="1:16" x14ac:dyDescent="0.25">
      <c r="I44" s="38"/>
      <c r="J44" s="11"/>
      <c r="K44" s="11"/>
      <c r="L44" s="11"/>
      <c r="M44" s="11"/>
      <c r="N44" s="11"/>
      <c r="O44" s="11"/>
      <c r="P44" s="11"/>
    </row>
    <row r="45" spans="1:16" x14ac:dyDescent="0.25">
      <c r="I45" s="38"/>
      <c r="J45" s="11"/>
      <c r="K45" s="11"/>
      <c r="L45" s="11"/>
      <c r="M45" s="11"/>
      <c r="N45" s="11"/>
      <c r="O45" s="11"/>
      <c r="P45" s="11"/>
    </row>
    <row r="46" spans="1:16" x14ac:dyDescent="0.25">
      <c r="I46" s="38"/>
      <c r="J46" s="11"/>
      <c r="K46" s="11"/>
      <c r="L46" s="11"/>
      <c r="M46" s="11"/>
      <c r="N46" s="11"/>
      <c r="O46" s="11"/>
      <c r="P46" s="11"/>
    </row>
    <row r="47" spans="1:16" x14ac:dyDescent="0.25">
      <c r="I47" s="11"/>
      <c r="J47" s="11"/>
      <c r="K47" s="11"/>
      <c r="L47" s="11"/>
      <c r="M47" s="11"/>
      <c r="N47" s="11"/>
      <c r="O47" s="11"/>
      <c r="P47" s="11"/>
    </row>
    <row r="48" spans="1:16" x14ac:dyDescent="0.25">
      <c r="I48" s="11"/>
      <c r="J48" s="11"/>
      <c r="K48" s="11"/>
      <c r="L48" s="11"/>
      <c r="M48" s="11"/>
      <c r="N48" s="11"/>
      <c r="O48" s="11"/>
      <c r="P48" s="11"/>
    </row>
    <row r="49" spans="1:17" x14ac:dyDescent="0.25">
      <c r="I49" s="11"/>
      <c r="J49" s="11"/>
      <c r="K49" s="11"/>
      <c r="L49" s="11"/>
      <c r="M49" s="11"/>
      <c r="N49" s="11"/>
      <c r="O49" s="11"/>
      <c r="P49" s="11"/>
    </row>
    <row r="50" spans="1:17" x14ac:dyDescent="0.25">
      <c r="I50" s="11"/>
      <c r="J50" s="11"/>
      <c r="K50" s="11"/>
      <c r="L50" s="11"/>
      <c r="M50" s="11"/>
      <c r="N50" s="11"/>
      <c r="O50" s="11"/>
      <c r="P50" s="11"/>
    </row>
    <row r="53" spans="1:17" ht="16.5" x14ac:dyDescent="0.3">
      <c r="C53" s="4"/>
    </row>
    <row r="60" spans="1:17" ht="33" customHeight="1" thickBot="1" x14ac:dyDescent="0.3"/>
    <row r="61" spans="1:17" ht="32.25" customHeight="1" x14ac:dyDescent="0.25">
      <c r="A61" s="93" t="s">
        <v>13</v>
      </c>
      <c r="B61" s="93"/>
      <c r="C61" s="93"/>
      <c r="D61" s="93"/>
      <c r="E61" s="93"/>
      <c r="F61" s="93"/>
      <c r="G61" s="93"/>
      <c r="J61" s="101" t="s">
        <v>235</v>
      </c>
      <c r="K61" s="102"/>
      <c r="L61" s="102"/>
      <c r="M61" s="102"/>
      <c r="N61" s="102"/>
      <c r="O61" s="102"/>
      <c r="P61" s="102"/>
      <c r="Q61" s="103"/>
    </row>
    <row r="62" spans="1:17" ht="15.75" customHeight="1" x14ac:dyDescent="0.25">
      <c r="J62" s="104"/>
      <c r="K62" s="105"/>
      <c r="L62" s="105"/>
      <c r="M62" s="105"/>
      <c r="N62" s="105"/>
      <c r="O62" s="105"/>
      <c r="P62" s="105"/>
      <c r="Q62" s="106"/>
    </row>
    <row r="63" spans="1:17" x14ac:dyDescent="0.25">
      <c r="B63"/>
      <c r="C63" s="5"/>
      <c r="J63" s="97" t="s">
        <v>233</v>
      </c>
      <c r="K63" s="99" t="s">
        <v>234</v>
      </c>
      <c r="L63" s="99"/>
      <c r="M63" s="99"/>
      <c r="N63" s="99"/>
      <c r="O63" s="99"/>
      <c r="P63" s="99"/>
      <c r="Q63" s="100"/>
    </row>
    <row r="64" spans="1:17" ht="16.5" thickBot="1" x14ac:dyDescent="0.3">
      <c r="J64" s="98"/>
      <c r="K64" s="42">
        <v>0</v>
      </c>
      <c r="L64" s="42">
        <v>5</v>
      </c>
      <c r="M64" s="42">
        <v>10</v>
      </c>
      <c r="N64" s="42">
        <v>15</v>
      </c>
      <c r="O64" s="42">
        <v>20</v>
      </c>
      <c r="P64" s="42">
        <v>25</v>
      </c>
      <c r="Q64" s="43">
        <v>30</v>
      </c>
    </row>
    <row r="65" spans="1:17" x14ac:dyDescent="0.25">
      <c r="B65" s="1"/>
      <c r="C65" s="5">
        <f>E39*10*E12*(COS($E$16*PI()/180))/2/1000</f>
        <v>16.111254704966029</v>
      </c>
      <c r="D65" s="2" t="s">
        <v>14</v>
      </c>
      <c r="J65" s="39" t="s">
        <v>72</v>
      </c>
      <c r="K65" s="50">
        <f>(8*$E$17*$E$19/($E$12^2))/(COS(K$64*PI()/180)/(INDEX('Геом. характеристики швеллера'!$K$6:$K$41,MATCH('без учета бимомента и без тяжей'!$J65,'Геом. характеристики швеллера'!$A$6:$A$41,0)))+SIN(K$64*PI()/180)/(INDEX('Геом. характеристики швеллера'!$O$6:$O$41,MATCH('без учета бимомента и без тяжей'!$J65,'Геом. характеристики швеллера'!$A$6:$A$41,0))))/10-INDEX('Геом. характеристики швеллера'!$I$6:$I$41,MATCH('без учета бимомента и без тяжей'!$J65,'Геом. характеристики швеллера'!$A$6:$A$41,0))</f>
        <v>38.840000000000003</v>
      </c>
      <c r="L65" s="50">
        <f>(8*$E$17*$E$19/($E$12^2))/(COS(L$64*PI()/180)/(INDEX('Геом. характеристики швеллера'!$K$6:$K$41,MATCH('без учета бимомента и без тяжей'!$J65,'Геом. характеристики швеллера'!$A$6:$A$41,0)))+SIN(L$64*PI()/180)/(INDEX('Геом. характеристики швеллера'!$O$6:$O$41,MATCH('без учета бимомента и без тяжей'!$J65,'Геом. характеристики швеллера'!$A$6:$A$41,0))))/10-INDEX('Геом. характеристики швеллера'!$I$6:$I$41,MATCH('без учета бимомента и без тяжей'!$J65,'Геом. характеристики швеллера'!$A$6:$A$41,0))</f>
        <v>29.162776644971455</v>
      </c>
      <c r="M65" s="50">
        <f>(8*$E$17*$E$19/($E$12^2))/(COS(M$64*PI()/180)/(INDEX('Геом. характеристики швеллера'!$K$6:$K$41,MATCH('без учета бимомента и без тяжей'!$J65,'Геом. характеристики швеллера'!$A$6:$A$41,0)))+SIN(M$64*PI()/180)/(INDEX('Геом. характеристики швеллера'!$O$6:$O$41,MATCH('без учета бимомента и без тяжей'!$J65,'Геом. характеристики швеллера'!$A$6:$A$41,0))))/10-INDEX('Геом. характеристики швеллера'!$I$6:$I$41,MATCH('без учета бимомента и без тяжей'!$J65,'Геом. характеристики швеллера'!$A$6:$A$41,0))</f>
        <v>23.170317867940643</v>
      </c>
      <c r="N65" s="50">
        <f>(8*$E$17*$E$19/($E$12^2))/(COS(N$64*PI()/180)/(INDEX('Геом. характеристики швеллера'!$K$6:$K$41,MATCH('без учета бимомента и без тяжей'!$J65,'Геом. характеристики швеллера'!$A$6:$A$41,0)))+SIN(N$64*PI()/180)/(INDEX('Геом. характеристики швеллера'!$O$6:$O$41,MATCH('без учета бимомента и без тяжей'!$J65,'Геом. характеристики швеллера'!$A$6:$A$41,0))))/10-INDEX('Геом. характеристики швеллера'!$I$6:$I$41,MATCH('без учета бимомента и без тяжей'!$J65,'Геом. характеристики швеллера'!$A$6:$A$41,0))</f>
        <v>19.128635650368132</v>
      </c>
      <c r="O65" s="50">
        <f>(8*$E$17*$E$19/($E$12^2))/(COS(O$64*PI()/180)/(INDEX('Геом. характеристики швеллера'!$K$6:$K$41,MATCH('без учета бимомента и без тяжей'!$J65,'Геом. характеристики швеллера'!$A$6:$A$41,0)))+SIN(O$64*PI()/180)/(INDEX('Геом. характеристики швеллера'!$O$6:$O$41,MATCH('без учета бимомента и без тяжей'!$J65,'Геом. характеристики швеллера'!$A$6:$A$41,0))))/10-INDEX('Геом. характеристики швеллера'!$I$6:$I$41,MATCH('без учета бимомента и без тяжей'!$J65,'Геом. характеристики швеллера'!$A$6:$A$41,0))</f>
        <v>16.246491437271256</v>
      </c>
      <c r="P65" s="50">
        <f>(8*$E$17*$E$19/($E$12^2))/(COS(P$64*PI()/180)/(INDEX('Геом. характеристики швеллера'!$K$6:$K$41,MATCH('без учета бимомента и без тяжей'!$J65,'Геом. характеристики швеллера'!$A$6:$A$41,0)))+SIN(P$64*PI()/180)/(INDEX('Геом. характеристики швеллера'!$O$6:$O$41,MATCH('без учета бимомента и без тяжей'!$J65,'Геом. характеристики швеллера'!$A$6:$A$41,0))))/10-INDEX('Геом. характеристики швеллера'!$I$6:$I$41,MATCH('без учета бимомента и без тяжей'!$J65,'Геом. характеристики швеллера'!$A$6:$A$41,0))</f>
        <v>14.111834803644296</v>
      </c>
      <c r="Q65" s="50">
        <f>(8*$E$17*$E$19/($E$12^2))/(COS(Q$64*PI()/180)/(INDEX('Геом. характеристики швеллера'!$K$6:$K$41,MATCH('без учета бимомента и без тяжей'!$J65,'Геом. характеристики швеллера'!$A$6:$A$41,0)))+SIN(Q$64*PI()/180)/(INDEX('Геом. характеристики швеллера'!$O$6:$O$41,MATCH('без учета бимомента и без тяжей'!$J65,'Геом. характеристики швеллера'!$A$6:$A$41,0))))/10-INDEX('Геом. характеристики швеллера'!$I$6:$I$41,MATCH('без учета бимомента и без тяжей'!$J65,'Геом. характеристики швеллера'!$A$6:$A$41,0))</f>
        <v>12.489407683837921</v>
      </c>
    </row>
    <row r="66" spans="1:17" x14ac:dyDescent="0.25">
      <c r="J66" s="40" t="s">
        <v>73</v>
      </c>
      <c r="K66" s="50">
        <f>(8*$E$17*$E$19/($E$12^2))/(COS(K$64*PI()/180)/(INDEX('Геом. характеристики швеллера'!$K$6:$K$41,MATCH('без учета бимомента и без тяжей'!$J66,'Геом. характеристики швеллера'!$A$6:$A$41,0)))+SIN(K$64*PI()/180)/(INDEX('Геом. характеристики швеллера'!$O$6:$O$41,MATCH('без учета бимомента и без тяжей'!$J66,'Геом. характеристики швеллера'!$A$6:$A$41,0))))/10-INDEX('Геом. характеристики швеллера'!$I$6:$I$41,MATCH('без учета бимомента и без тяжей'!$J66,'Геом. характеристики швеллера'!$A$6:$A$41,0))</f>
        <v>66.099999999999994</v>
      </c>
      <c r="L66" s="50">
        <f>(8*$E$17*$E$19/($E$12^2))/(COS(L$64*PI()/180)/(INDEX('Геом. характеристики швеллера'!$K$6:$K$41,MATCH('без учета бимомента и без тяжей'!$J66,'Геом. характеристики швеллера'!$A$6:$A$41,0)))+SIN(L$64*PI()/180)/(INDEX('Геом. характеристики швеллера'!$O$6:$O$41,MATCH('без учета бимомента и без тяжей'!$J66,'Геом. характеристики швеллера'!$A$6:$A$41,0))))/10-INDEX('Геом. характеристики швеллера'!$I$6:$I$41,MATCH('без учета бимомента и без тяжей'!$J66,'Геом. характеристики швеллера'!$A$6:$A$41,0))</f>
        <v>47.376146942486848</v>
      </c>
      <c r="M66" s="50">
        <f>(8*$E$17*$E$19/($E$12^2))/(COS(M$64*PI()/180)/(INDEX('Геом. характеристики швеллера'!$K$6:$K$41,MATCH('без учета бимомента и без тяжей'!$J66,'Геом. характеристики швеллера'!$A$6:$A$41,0)))+SIN(M$64*PI()/180)/(INDEX('Геом. характеристики швеллера'!$O$6:$O$41,MATCH('без учета бимомента и без тяжей'!$J66,'Геом. характеристики швеллера'!$A$6:$A$41,0))))/10-INDEX('Геом. характеристики швеллера'!$I$6:$I$41,MATCH('без учета бимомента и без тяжей'!$J66,'Геом. характеристики швеллера'!$A$6:$A$41,0))</f>
        <v>36.637784740566779</v>
      </c>
      <c r="N66" s="50">
        <f>(8*$E$17*$E$19/($E$12^2))/(COS(N$64*PI()/180)/(INDEX('Геом. характеристики швеллера'!$K$6:$K$41,MATCH('без учета бимомента и без тяжей'!$J66,'Геом. характеристики швеллера'!$A$6:$A$41,0)))+SIN(N$64*PI()/180)/(INDEX('Геом. характеристики швеллера'!$O$6:$O$41,MATCH('без учета бимомента и без тяжей'!$J66,'Геом. характеристики швеллера'!$A$6:$A$41,0))))/10-INDEX('Геом. характеристики швеллера'!$I$6:$I$41,MATCH('без учета бимомента и без тяжей'!$J66,'Геом. характеристики швеллера'!$A$6:$A$41,0))</f>
        <v>29.727783010005723</v>
      </c>
      <c r="O66" s="50">
        <f>(8*$E$17*$E$19/($E$12^2))/(COS(O$64*PI()/180)/(INDEX('Геом. характеристики швеллера'!$K$6:$K$41,MATCH('без учета бимомента и без тяжей'!$J66,'Геом. характеристики швеллера'!$A$6:$A$41,0)))+SIN(O$64*PI()/180)/(INDEX('Геом. характеристики швеллера'!$O$6:$O$41,MATCH('без учета бимомента и без тяжей'!$J66,'Геом. характеристики швеллера'!$A$6:$A$41,0))))/10-INDEX('Геом. характеристики швеллера'!$I$6:$I$41,MATCH('без учета бимомента и без тяжей'!$J66,'Геом. характеристики швеллера'!$A$6:$A$41,0))</f>
        <v>24.951019381145734</v>
      </c>
      <c r="P66" s="50">
        <f>(8*$E$17*$E$19/($E$12^2))/(COS(P$64*PI()/180)/(INDEX('Геом. характеристики швеллера'!$K$6:$K$41,MATCH('без учета бимомента и без тяжей'!$J66,'Геом. характеристики швеллера'!$A$6:$A$41,0)))+SIN(P$64*PI()/180)/(INDEX('Геом. характеристики швеллера'!$O$6:$O$41,MATCH('без учета бимомента и без тяжей'!$J66,'Геом. характеристики швеллера'!$A$6:$A$41,0))))/10-INDEX('Геом. характеристики швеллера'!$I$6:$I$41,MATCH('без учета бимомента и без тяжей'!$J66,'Геом. характеристики швеллера'!$A$6:$A$41,0))</f>
        <v>21.487499868145264</v>
      </c>
      <c r="Q66" s="50">
        <f>(8*$E$17*$E$19/($E$12^2))/(COS(Q$64*PI()/180)/(INDEX('Геом. характеристики швеллера'!$K$6:$K$41,MATCH('без учета бимомента и без тяжей'!$J66,'Геом. характеристики швеллера'!$A$6:$A$41,0)))+SIN(Q$64*PI()/180)/(INDEX('Геом. характеристики швеллера'!$O$6:$O$41,MATCH('без учета бимомента и без тяжей'!$J66,'Геом. характеристики швеллера'!$A$6:$A$41,0))))/10-INDEX('Геом. характеристики швеллера'!$I$6:$I$41,MATCH('без учета бимомента и без тяжей'!$J66,'Геом. характеристики швеллера'!$A$6:$A$41,0))</f>
        <v>18.892800351653875</v>
      </c>
    </row>
    <row r="67" spans="1:17" ht="18.75" customHeight="1" x14ac:dyDescent="0.25">
      <c r="B67"/>
      <c r="J67" s="40" t="s">
        <v>74</v>
      </c>
      <c r="K67" s="50">
        <f>(8*$E$17*$E$19/($E$12^2))/(COS(K$64*PI()/180)/(INDEX('Геом. характеристики швеллера'!$K$6:$K$41,MATCH('без учета бимомента и без тяжей'!$J67,'Геом. характеристики швеллера'!$A$6:$A$41,0)))+SIN(K$64*PI()/180)/(INDEX('Геом. характеристики швеллера'!$O$6:$O$41,MATCH('без учета бимомента и без тяжей'!$J67,'Геом. характеристики швеллера'!$A$6:$A$41,0))))/10-INDEX('Геом. характеристики швеллера'!$I$6:$I$41,MATCH('без учета бимомента и без тяжей'!$J67,'Геом. характеристики швеллера'!$A$6:$A$41,0))</f>
        <v>100.47000000000001</v>
      </c>
      <c r="L67" s="50">
        <f>(8*$E$17*$E$19/($E$12^2))/(COS(L$64*PI()/180)/(INDEX('Геом. характеристики швеллера'!$K$6:$K$41,MATCH('без учета бимомента и без тяжей'!$J67,'Геом. характеристики швеллера'!$A$6:$A$41,0)))+SIN(L$64*PI()/180)/(INDEX('Геом. характеристики швеллера'!$O$6:$O$41,MATCH('без учета бимомента и без тяжей'!$J67,'Геом. характеристики швеллера'!$A$6:$A$41,0))))/10-INDEX('Геом. характеристики швеллера'!$I$6:$I$41,MATCH('без учета бимомента и без тяжей'!$J67,'Геом. характеристики швеллера'!$A$6:$A$41,0))</f>
        <v>69.356895673543946</v>
      </c>
      <c r="M67" s="50">
        <f>(8*$E$17*$E$19/($E$12^2))/(COS(M$64*PI()/180)/(INDEX('Геом. характеристики швеллера'!$K$6:$K$41,MATCH('без учета бимомента и без тяжей'!$J67,'Геом. характеристики швеллера'!$A$6:$A$41,0)))+SIN(M$64*PI()/180)/(INDEX('Геом. характеристики швеллера'!$O$6:$O$41,MATCH('без учета бимомента и без тяжей'!$J67,'Геом. характеристики швеллера'!$A$6:$A$41,0))))/10-INDEX('Геом. характеристики швеллера'!$I$6:$I$41,MATCH('без учета бимомента и без тяжей'!$J67,'Геом. характеристики швеллера'!$A$6:$A$41,0))</f>
        <v>52.560932173622632</v>
      </c>
      <c r="N67" s="50">
        <f>(8*$E$17*$E$19/($E$12^2))/(COS(N$64*PI()/180)/(INDEX('Геом. характеристики швеллера'!$K$6:$K$41,MATCH('без учета бимомента и без тяжей'!$J67,'Геом. характеристики швеллера'!$A$6:$A$41,0)))+SIN(N$64*PI()/180)/(INDEX('Геом. характеристики швеллера'!$O$6:$O$41,MATCH('без учета бимомента и без тяжей'!$J67,'Геом. характеристики швеллера'!$A$6:$A$41,0))))/10-INDEX('Геом. характеристики швеллера'!$I$6:$I$41,MATCH('без учета бимомента и без тяжей'!$J67,'Геом. характеристики швеллера'!$A$6:$A$41,0))</f>
        <v>42.125335415879981</v>
      </c>
      <c r="O67" s="50">
        <f>(8*$E$17*$E$19/($E$12^2))/(COS(O$64*PI()/180)/(INDEX('Геом. характеристики швеллера'!$K$6:$K$41,MATCH('без учета бимомента и без тяжей'!$J67,'Геом. характеристики швеллера'!$A$6:$A$41,0)))+SIN(O$64*PI()/180)/(INDEX('Геом. характеристики швеллера'!$O$6:$O$41,MATCH('без учета бимомента и без тяжей'!$J67,'Геом. характеристики швеллера'!$A$6:$A$41,0))))/10-INDEX('Геом. характеристики швеллера'!$I$6:$I$41,MATCH('без учета бимомента и без тяжей'!$J67,'Геом. характеристики швеллера'!$A$6:$A$41,0))</f>
        <v>35.071962621294034</v>
      </c>
      <c r="P67" s="50">
        <f>(8*$E$17*$E$19/($E$12^2))/(COS(P$64*PI()/180)/(INDEX('Геом. характеристики швеллера'!$K$6:$K$41,MATCH('без учета бимомента и без тяжей'!$J67,'Геом. характеристики швеллера'!$A$6:$A$41,0)))+SIN(P$64*PI()/180)/(INDEX('Геом. характеристики швеллера'!$O$6:$O$41,MATCH('без учета бимомента и без тяжей'!$J67,'Геом. характеристики швеллера'!$A$6:$A$41,0))))/10-INDEX('Геом. характеристики швеллера'!$I$6:$I$41,MATCH('без учета бимомента и без тяжей'!$J67,'Геом. характеристики швеллера'!$A$6:$A$41,0))</f>
        <v>30.034985779314237</v>
      </c>
      <c r="Q67" s="50">
        <f>(8*$E$17*$E$19/($E$12^2))/(COS(Q$64*PI()/180)/(INDEX('Геом. характеристики швеллера'!$K$6:$K$41,MATCH('без учета бимомента и без тяжей'!$J67,'Геом. характеристики швеллера'!$A$6:$A$41,0)))+SIN(Q$64*PI()/180)/(INDEX('Геом. характеристики швеллера'!$O$6:$O$41,MATCH('без учета бимомента и без тяжей'!$J67,'Геом. характеристики швеллера'!$A$6:$A$41,0))))/10-INDEX('Геом. характеристики швеллера'!$I$6:$I$41,MATCH('без учета бимомента и без тяжей'!$J67,'Геом. характеристики швеллера'!$A$6:$A$41,0))</f>
        <v>26.300702036652904</v>
      </c>
    </row>
    <row r="68" spans="1:17" x14ac:dyDescent="0.25">
      <c r="B68"/>
      <c r="J68" s="40" t="s">
        <v>75</v>
      </c>
      <c r="K68" s="50">
        <f>(8*$E$17*$E$19/($E$12^2))/(COS(K$64*PI()/180)/(INDEX('Геом. характеристики швеллера'!$K$6:$K$41,MATCH('без учета бимомента и без тяжей'!$J68,'Геом. характеристики швеллера'!$A$6:$A$41,0)))+SIN(K$64*PI()/180)/(INDEX('Геом. характеристики швеллера'!$O$6:$O$41,MATCH('без учета бимомента и без тяжей'!$J68,'Геом. характеристики швеллера'!$A$6:$A$41,0))))/10-INDEX('Геом. характеристики швеллера'!$I$6:$I$41,MATCH('без учета бимомента и без тяжей'!$J68,'Геом. характеристики швеллера'!$A$6:$A$41,0))</f>
        <v>161.44999999999999</v>
      </c>
      <c r="L68" s="50">
        <f>(8*$E$17*$E$19/($E$12^2))/(COS(L$64*PI()/180)/(INDEX('Геом. характеристики швеллера'!$K$6:$K$41,MATCH('без учета бимомента и без тяжей'!$J68,'Геом. характеристики швеллера'!$A$6:$A$41,0)))+SIN(L$64*PI()/180)/(INDEX('Геом. характеристики швеллера'!$O$6:$O$41,MATCH('без учета бимомента и без тяжей'!$J68,'Геом. характеристики швеллера'!$A$6:$A$41,0))))/10-INDEX('Геом. характеристики швеллера'!$I$6:$I$41,MATCH('без учета бимомента и без тяжей'!$J68,'Геом. характеристики швеллера'!$A$6:$A$41,0))</f>
        <v>108.3758353252191</v>
      </c>
      <c r="M68" s="50">
        <f>(8*$E$17*$E$19/($E$12^2))/(COS(M$64*PI()/180)/(INDEX('Геом. характеристики швеллера'!$K$6:$K$41,MATCH('без учета бимомента и без тяжей'!$J68,'Геом. характеристики швеллера'!$A$6:$A$41,0)))+SIN(M$64*PI()/180)/(INDEX('Геом. характеристики швеллера'!$O$6:$O$41,MATCH('без учета бимомента и без тяжей'!$J68,'Геом. характеристики швеллера'!$A$6:$A$41,0))))/10-INDEX('Геом. характеристики швеллера'!$I$6:$I$41,MATCH('без учета бимомента и без тяжей'!$J68,'Геом. характеристики швеллера'!$A$6:$A$41,0))</f>
        <v>81.398675683104699</v>
      </c>
      <c r="N68" s="50">
        <f>(8*$E$17*$E$19/($E$12^2))/(COS(N$64*PI()/180)/(INDEX('Геом. характеристики швеллера'!$K$6:$K$41,MATCH('без учета бимомента и без тяжей'!$J68,'Геом. характеристики швеллера'!$A$6:$A$41,0)))+SIN(N$64*PI()/180)/(INDEX('Геом. характеристики швеллера'!$O$6:$O$41,MATCH('без учета бимомента и без тяжей'!$J68,'Геом. характеристики швеллера'!$A$6:$A$41,0))))/10-INDEX('Геом. характеристики швеллера'!$I$6:$I$41,MATCH('без учета бимомента и без тяжей'!$J68,'Геом. характеристики швеллера'!$A$6:$A$41,0))</f>
        <v>65.184166393797156</v>
      </c>
      <c r="O68" s="50">
        <f>(8*$E$17*$E$19/($E$12^2))/(COS(O$64*PI()/180)/(INDEX('Геом. характеристики швеллера'!$K$6:$K$41,MATCH('без учета бимомента и без тяжей'!$J68,'Геом. характеристики швеллера'!$A$6:$A$41,0)))+SIN(O$64*PI()/180)/(INDEX('Геом. характеристики швеллера'!$O$6:$O$41,MATCH('без учета бимомента и без тяжей'!$J68,'Геом. характеристики швеллера'!$A$6:$A$41,0))))/10-INDEX('Геом. характеристики швеллера'!$I$6:$I$41,MATCH('без учета бимомента и без тяжей'!$J68,'Геом. характеристики швеллера'!$A$6:$A$41,0))</f>
        <v>54.449809283501452</v>
      </c>
      <c r="P68" s="50">
        <f>(8*$E$17*$E$19/($E$12^2))/(COS(P$64*PI()/180)/(INDEX('Геом. характеристики швеллера'!$K$6:$K$41,MATCH('без учета бимомента и без тяжей'!$J68,'Геом. характеристики швеллера'!$A$6:$A$41,0)))+SIN(P$64*PI()/180)/(INDEX('Геом. характеристики швеллера'!$O$6:$O$41,MATCH('без учета бимомента и без тяжей'!$J68,'Геом. характеристики швеллера'!$A$6:$A$41,0))))/10-INDEX('Геом. характеристики швеллера'!$I$6:$I$41,MATCH('без учета бимомента и без тяжей'!$J68,'Геом. характеристики швеллера'!$A$6:$A$41,0))</f>
        <v>46.889600576214505</v>
      </c>
      <c r="Q68" s="50">
        <f>(8*$E$17*$E$19/($E$12^2))/(COS(Q$64*PI()/180)/(INDEX('Геом. характеристики швеллера'!$K$6:$K$41,MATCH('без учета бимомента и без тяжей'!$J68,'Геом. характеристики швеллера'!$A$6:$A$41,0)))+SIN(Q$64*PI()/180)/(INDEX('Геом. характеристики швеллера'!$O$6:$O$41,MATCH('без учета бимомента и без тяжей'!$J68,'Геом. характеристики швеллера'!$A$6:$A$41,0))))/10-INDEX('Геом. характеристики швеллера'!$I$6:$I$41,MATCH('без учета бимомента и без тяжей'!$J68,'Геом. характеристики швеллера'!$A$6:$A$41,0))</f>
        <v>41.337624808011583</v>
      </c>
    </row>
    <row r="69" spans="1:17" x14ac:dyDescent="0.25">
      <c r="C69" s="5">
        <f>E39*10*E12*(SIN($E$16*PI()/180))/2/1000</f>
        <v>1.693361104935986</v>
      </c>
      <c r="D69" s="2" t="s">
        <v>14</v>
      </c>
      <c r="J69" s="40" t="s">
        <v>76</v>
      </c>
      <c r="K69" s="50">
        <f>(8*$E$17*$E$19/($E$12^2))/(COS(K$64*PI()/180)/(INDEX('Геом. характеристики швеллера'!$K$6:$K$41,MATCH('без учета бимомента и без тяжей'!$J69,'Геом. характеристики швеллера'!$A$6:$A$41,0)))+SIN(K$64*PI()/180)/(INDEX('Геом. характеристики швеллера'!$O$6:$O$41,MATCH('без учета бимомента и без тяжей'!$J69,'Геом. характеристики швеллера'!$A$6:$A$41,0))))/10-INDEX('Геом. характеристики швеллера'!$I$6:$I$41,MATCH('без учета бимомента и без тяжей'!$J69,'Геом. характеристики швеллера'!$A$6:$A$41,0))</f>
        <v>232.47999999999996</v>
      </c>
      <c r="L69" s="50">
        <f>(8*$E$17*$E$19/($E$12^2))/(COS(L$64*PI()/180)/(INDEX('Геом. характеристики швеллера'!$K$6:$K$41,MATCH('без учета бимомента и без тяжей'!$J69,'Геом. характеристики швеллера'!$A$6:$A$41,0)))+SIN(L$64*PI()/180)/(INDEX('Геом. характеристики швеллера'!$O$6:$O$41,MATCH('без учета бимомента и без тяжей'!$J69,'Геом. характеристики швеллера'!$A$6:$A$41,0))))/10-INDEX('Геом. характеристики швеллера'!$I$6:$I$41,MATCH('без учета бимомента и без тяжей'!$J69,'Геом. характеристики швеллера'!$A$6:$A$41,0))</f>
        <v>150.04287836221823</v>
      </c>
      <c r="M69" s="50">
        <f>(8*$E$17*$E$19/($E$12^2))/(COS(M$64*PI()/180)/(INDEX('Геом. характеристики швеллера'!$K$6:$K$41,MATCH('без учета бимомента и без тяжей'!$J69,'Геом. характеристики швеллера'!$A$6:$A$41,0)))+SIN(M$64*PI()/180)/(INDEX('Геом. характеристики швеллера'!$O$6:$O$41,MATCH('без учета бимомента и без тяжей'!$J69,'Геом. характеристики швеллера'!$A$6:$A$41,0))))/10-INDEX('Геом. характеристики швеллера'!$I$6:$I$41,MATCH('без учета бимомента и без тяжей'!$J69,'Геом. характеристики швеллера'!$A$6:$A$41,0))</f>
        <v>110.07030001463144</v>
      </c>
      <c r="N69" s="50">
        <f>(8*$E$17*$E$19/($E$12^2))/(COS(N$64*PI()/180)/(INDEX('Геом. характеристики швеллера'!$K$6:$K$41,MATCH('без учета бимомента и без тяжей'!$J69,'Геом. характеристики швеллера'!$A$6:$A$41,0)))+SIN(N$64*PI()/180)/(INDEX('Геом. характеристики швеллера'!$O$6:$O$41,MATCH('без учета бимомента и без тяжей'!$J69,'Геом. характеристики швеллера'!$A$6:$A$41,0))))/10-INDEX('Геом. характеристики швеллера'!$I$6:$I$41,MATCH('без учета бимомента и без тяжей'!$J69,'Геом. характеристики швеллера'!$A$6:$A$41,0))</f>
        <v>86.633865950565678</v>
      </c>
      <c r="O69" s="50">
        <f>(8*$E$17*$E$19/($E$12^2))/(COS(O$64*PI()/180)/(INDEX('Геом. характеристики швеллера'!$K$6:$K$41,MATCH('без учета бимомента и без тяжей'!$J69,'Геом. характеристики швеллера'!$A$6:$A$41,0)))+SIN(O$64*PI()/180)/(INDEX('Геом. характеристики швеллера'!$O$6:$O$41,MATCH('без учета бимомента и без тяжей'!$J69,'Геом. характеристики швеллера'!$A$6:$A$41,0))))/10-INDEX('Геом. характеристики швеллера'!$I$6:$I$41,MATCH('без учета бимомента и без тяжей'!$J69,'Геом. характеристики швеллера'!$A$6:$A$41,0))</f>
        <v>71.351930627750647</v>
      </c>
      <c r="P69" s="50">
        <f>(8*$E$17*$E$19/($E$12^2))/(COS(P$64*PI()/180)/(INDEX('Геом. характеристики швеллера'!$K$6:$K$41,MATCH('без учета бимомента и без тяжей'!$J69,'Геом. характеристики швеллера'!$A$6:$A$41,0)))+SIN(P$64*PI()/180)/(INDEX('Геом. характеристики швеллера'!$O$6:$O$41,MATCH('без учета бимомента и без тяжей'!$J69,'Геом. характеристики швеллера'!$A$6:$A$41,0))))/10-INDEX('Геом. характеристики швеллера'!$I$6:$I$41,MATCH('без учета бимомента и без тяжей'!$J69,'Геом. характеристики швеллера'!$A$6:$A$41,0))</f>
        <v>60.696045646685029</v>
      </c>
      <c r="Q69" s="50">
        <f>(8*$E$17*$E$19/($E$12^2))/(COS(Q$64*PI()/180)/(INDEX('Геом. характеристики швеллера'!$K$6:$K$41,MATCH('без учета бимомента и без тяжей'!$J69,'Геом. характеристики швеллера'!$A$6:$A$41,0)))+SIN(Q$64*PI()/180)/(INDEX('Геом. характеристики швеллера'!$O$6:$O$41,MATCH('без учета бимомента и без тяжей'!$J69,'Геом. характеристики швеллера'!$A$6:$A$41,0))))/10-INDEX('Геом. характеристики швеллера'!$I$6:$I$41,MATCH('без учета бимомента и без тяжей'!$J69,'Геом. характеристики швеллера'!$A$6:$A$41,0))</f>
        <v>52.924059931020146</v>
      </c>
    </row>
    <row r="70" spans="1:17" x14ac:dyDescent="0.25">
      <c r="B70"/>
      <c r="J70" s="40" t="s">
        <v>77</v>
      </c>
      <c r="K70" s="50">
        <f>(8*$E$17*$E$19/($E$12^2))/(COS(K$64*PI()/180)/(INDEX('Геом. характеристики швеллера'!$K$6:$K$41,MATCH('без учета бимомента и без тяжей'!$J70,'Геом. характеристики швеллера'!$A$6:$A$41,0)))+SIN(K$64*PI()/180)/(INDEX('Геом. характеристики швеллера'!$O$6:$O$41,MATCH('без учета бимомента и без тяжей'!$J70,'Геом. характеристики швеллера'!$A$6:$A$41,0))))/10-INDEX('Геом. характеристики швеллера'!$I$6:$I$41,MATCH('без учета бимомента и без тяжей'!$J70,'Геом. характеристики швеллера'!$A$6:$A$41,0))</f>
        <v>324.65999999999997</v>
      </c>
      <c r="L70" s="50">
        <f>(8*$E$17*$E$19/($E$12^2))/(COS(L$64*PI()/180)/(INDEX('Геом. характеристики швеллера'!$K$6:$K$41,MATCH('без учета бимомента и без тяжей'!$J70,'Геом. характеристики швеллера'!$A$6:$A$41,0)))+SIN(L$64*PI()/180)/(INDEX('Геом. характеристики швеллера'!$O$6:$O$41,MATCH('без учета бимомента и без тяжей'!$J70,'Геом. характеристики швеллера'!$A$6:$A$41,0))))/10-INDEX('Геом. характеристики швеллера'!$I$6:$I$41,MATCH('без учета бимомента и без тяжей'!$J70,'Геом. характеристики швеллера'!$A$6:$A$41,0))</f>
        <v>204.75650838905597</v>
      </c>
      <c r="M70" s="50">
        <f>(8*$E$17*$E$19/($E$12^2))/(COS(M$64*PI()/180)/(INDEX('Геом. характеристики швеллера'!$K$6:$K$41,MATCH('без учета бимомента и без тяжей'!$J70,'Геом. характеристики швеллера'!$A$6:$A$41,0)))+SIN(M$64*PI()/180)/(INDEX('Геом. характеристики швеллера'!$O$6:$O$41,MATCH('без учета бимомента и без тяжей'!$J70,'Геом. характеристики швеллера'!$A$6:$A$41,0))))/10-INDEX('Геом. характеристики швеллера'!$I$6:$I$41,MATCH('без учета бимомента и без тяжей'!$J70,'Геом. характеристики швеллера'!$A$6:$A$41,0))</f>
        <v>148.69387724061934</v>
      </c>
      <c r="N70" s="50">
        <f>(8*$E$17*$E$19/($E$12^2))/(COS(N$64*PI()/180)/(INDEX('Геом. характеристики швеллера'!$K$6:$K$41,MATCH('без учета бимомента и без тяжей'!$J70,'Геом. характеристики швеллера'!$A$6:$A$41,0)))+SIN(N$64*PI()/180)/(INDEX('Геом. характеристики швеллера'!$O$6:$O$41,MATCH('без учета бимомента и без тяжей'!$J70,'Геом. характеристики швеллера'!$A$6:$A$41,0))))/10-INDEX('Геом. характеристики швеллера'!$I$6:$I$41,MATCH('без учета бимомента и без тяжей'!$J70,'Геом. характеристики швеллера'!$A$6:$A$41,0))</f>
        <v>116.42556160966832</v>
      </c>
      <c r="O70" s="50">
        <f>(8*$E$17*$E$19/($E$12^2))/(COS(O$64*PI()/180)/(INDEX('Геом. характеристики швеллера'!$K$6:$K$41,MATCH('без учета бимомента и без тяжей'!$J70,'Геом. характеристики швеллера'!$A$6:$A$41,0)))+SIN(O$64*PI()/180)/(INDEX('Геом. характеристики швеллера'!$O$6:$O$41,MATCH('без учета бимомента и без тяжей'!$J70,'Геом. характеристики швеллера'!$A$6:$A$41,0))))/10-INDEX('Геом. характеристики швеллера'!$I$6:$I$41,MATCH('без учета бимомента и без тяжей'!$J70,'Геом. характеристики швеллера'!$A$6:$A$41,0))</f>
        <v>95.616883591938546</v>
      </c>
      <c r="P70" s="50">
        <f>(8*$E$17*$E$19/($E$12^2))/(COS(P$64*PI()/180)/(INDEX('Геом. характеристики швеллера'!$K$6:$K$41,MATCH('без учета бимомента и без тяжей'!$J70,'Геом. характеристики швеллера'!$A$6:$A$41,0)))+SIN(P$64*PI()/180)/(INDEX('Геом. характеристики швеллера'!$O$6:$O$41,MATCH('без учета бимомента и без тяжей'!$J70,'Геом. характеристики швеллера'!$A$6:$A$41,0))))/10-INDEX('Геом. характеристики швеллера'!$I$6:$I$41,MATCH('без учета бимомента и без тяжей'!$J70,'Геом. характеристики швеллера'!$A$6:$A$41,0))</f>
        <v>81.212184427660858</v>
      </c>
      <c r="Q70" s="50">
        <f>(8*$E$17*$E$19/($E$12^2))/(COS(Q$64*PI()/180)/(INDEX('Геом. характеристики швеллера'!$K$6:$K$41,MATCH('без учета бимомента и без тяжей'!$J70,'Геом. характеристики швеллера'!$A$6:$A$41,0)))+SIN(Q$64*PI()/180)/(INDEX('Геом. характеристики швеллера'!$O$6:$O$41,MATCH('без учета бимомента и без тяжей'!$J70,'Геом. характеристики швеллера'!$A$6:$A$41,0))))/10-INDEX('Геом. характеристики швеллера'!$I$6:$I$41,MATCH('без учета бимомента и без тяжей'!$J70,'Геом. характеристики швеллера'!$A$6:$A$41,0))</f>
        <v>70.757786720673877</v>
      </c>
    </row>
    <row r="71" spans="1:17" x14ac:dyDescent="0.25">
      <c r="B71"/>
      <c r="J71" s="40" t="s">
        <v>78</v>
      </c>
      <c r="K71" s="50">
        <f>(8*$E$17*$E$19/($E$12^2))/(COS(K$64*PI()/180)/(INDEX('Геом. характеристики швеллера'!$K$6:$K$41,MATCH('без учета бимомента и без тяжей'!$J71,'Геом. характеристики швеллера'!$A$6:$A$41,0)))+SIN(K$64*PI()/180)/(INDEX('Геом. характеристики швеллера'!$O$6:$O$41,MATCH('без учета бимомента и без тяжей'!$J71,'Геом. характеристики швеллера'!$A$6:$A$41,0))))/10-INDEX('Геом. характеристики швеллера'!$I$6:$I$41,MATCH('без учета бимомента и без тяжей'!$J71,'Геом. характеристики швеллера'!$A$6:$A$41,0))</f>
        <v>434.12000000000006</v>
      </c>
      <c r="L71" s="50">
        <f>(8*$E$17*$E$19/($E$12^2))/(COS(L$64*PI()/180)/(INDEX('Геом. характеристики швеллера'!$K$6:$K$41,MATCH('без учета бимомента и без тяжей'!$J71,'Геом. характеристики швеллера'!$A$6:$A$41,0)))+SIN(L$64*PI()/180)/(INDEX('Геом. характеристики швеллера'!$O$6:$O$41,MATCH('без учета бимомента и без тяжей'!$J71,'Геом. характеристики швеллера'!$A$6:$A$41,0))))/10-INDEX('Геом. характеристики швеллера'!$I$6:$I$41,MATCH('без учета бимомента и без тяжей'!$J71,'Геом. характеристики швеллера'!$A$6:$A$41,0))</f>
        <v>268.46004869865277</v>
      </c>
      <c r="M71" s="50">
        <f>(8*$E$17*$E$19/($E$12^2))/(COS(M$64*PI()/180)/(INDEX('Геом. характеристики швеллера'!$K$6:$K$41,MATCH('без учета бимомента и без тяжей'!$J71,'Геом. характеристики швеллера'!$A$6:$A$41,0)))+SIN(M$64*PI()/180)/(INDEX('Геом. характеристики швеллера'!$O$6:$O$41,MATCH('без учета бимомента и без тяжей'!$J71,'Геом. характеристики швеллера'!$A$6:$A$41,0))))/10-INDEX('Геом. характеристики швеллера'!$I$6:$I$41,MATCH('без учета бимомента и без тяжей'!$J71,'Геом. характеристики швеллера'!$A$6:$A$41,0))</f>
        <v>193.34798845351708</v>
      </c>
      <c r="N71" s="50">
        <f>(8*$E$17*$E$19/($E$12^2))/(COS(N$64*PI()/180)/(INDEX('Геом. характеристики швеллера'!$K$6:$K$41,MATCH('без учета бимомента и без тяжей'!$J71,'Геом. характеристики швеллера'!$A$6:$A$41,0)))+SIN(N$64*PI()/180)/(INDEX('Геом. характеристики швеллера'!$O$6:$O$41,MATCH('без учета бимомента и без тяжей'!$J71,'Геом. характеристики швеллера'!$A$6:$A$41,0))))/10-INDEX('Геом. характеристики швеллера'!$I$6:$I$41,MATCH('без учета бимомента и без тяжей'!$J71,'Геом. характеристики швеллера'!$A$6:$A$41,0))</f>
        <v>150.76647215950163</v>
      </c>
      <c r="O71" s="50">
        <f>(8*$E$17*$E$19/($E$12^2))/(COS(O$64*PI()/180)/(INDEX('Геом. характеристики швеллера'!$K$6:$K$41,MATCH('без учета бимомента и без тяжей'!$J71,'Геом. характеристики швеллера'!$A$6:$A$41,0)))+SIN(O$64*PI()/180)/(INDEX('Геом. характеристики швеллера'!$O$6:$O$41,MATCH('без учета бимомента и без тяжей'!$J71,'Геом. характеристики швеллера'!$A$6:$A$41,0))))/10-INDEX('Геом. характеристики швеллера'!$I$6:$I$41,MATCH('без учета бимомента и без тяжей'!$J71,'Геом. характеристики швеллера'!$A$6:$A$41,0))</f>
        <v>123.55283777750081</v>
      </c>
      <c r="P71" s="50">
        <f>(8*$E$17*$E$19/($E$12^2))/(COS(P$64*PI()/180)/(INDEX('Геом. характеристики швеллера'!$K$6:$K$41,MATCH('без учета бимомента и без тяжей'!$J71,'Геом. характеристики швеллера'!$A$6:$A$41,0)))+SIN(P$64*PI()/180)/(INDEX('Геом. характеристики швеллера'!$O$6:$O$41,MATCH('без учета бимомента и без тяжей'!$J71,'Геом. характеристики швеллера'!$A$6:$A$41,0))))/10-INDEX('Геом. характеристики швеллера'!$I$6:$I$41,MATCH('без учета бимомента и без тяжей'!$J71,'Геом. характеристики швеллера'!$A$6:$A$41,0))</f>
        <v>104.82394055264453</v>
      </c>
      <c r="Q71" s="50">
        <f>(8*$E$17*$E$19/($E$12^2))/(COS(Q$64*PI()/180)/(INDEX('Геом. характеристики швеллера'!$K$6:$K$41,MATCH('без учета бимомента и без тяжей'!$J71,'Геом. характеристики швеллера'!$A$6:$A$41,0)))+SIN(Q$64*PI()/180)/(INDEX('Геом. характеристики швеллера'!$O$6:$O$41,MATCH('без учета бимомента и без тяжей'!$J71,'Геом. характеристики швеллера'!$A$6:$A$41,0))))/10-INDEX('Геом. характеристики швеллера'!$I$6:$I$41,MATCH('без учета бимомента и без тяжей'!$J71,'Геом. характеристики швеллера'!$A$6:$A$41,0))</f>
        <v>91.284989461226672</v>
      </c>
    </row>
    <row r="72" spans="1:17" x14ac:dyDescent="0.25">
      <c r="J72" s="40" t="s">
        <v>79</v>
      </c>
      <c r="K72" s="50">
        <f>(8*$E$17*$E$19/($E$12^2))/(COS(K$64*PI()/180)/(INDEX('Геом. характеристики швеллера'!$K$6:$K$41,MATCH('без учета бимомента и без тяжей'!$J72,'Геом. характеристики швеллера'!$A$6:$A$41,0)))+SIN(K$64*PI()/180)/(INDEX('Геом. характеристики швеллера'!$O$6:$O$41,MATCH('без учета бимомента и без тяжей'!$J72,'Геом. характеристики швеллера'!$A$6:$A$41,0))))/10-INDEX('Геом. характеристики швеллера'!$I$6:$I$41,MATCH('без учета бимомента и без тяжей'!$J72,'Геом. характеристики швеллера'!$A$6:$A$41,0))</f>
        <v>479.09999999999997</v>
      </c>
      <c r="L72" s="50">
        <f>(8*$E$17*$E$19/($E$12^2))/(COS(L$64*PI()/180)/(INDEX('Геом. характеристики швеллера'!$K$6:$K$41,MATCH('без учета бимомента и без тяжей'!$J72,'Геом. характеристики швеллера'!$A$6:$A$41,0)))+SIN(L$64*PI()/180)/(INDEX('Геом. характеристики швеллера'!$O$6:$O$41,MATCH('без учета бимомента и без тяжей'!$J72,'Геом. характеристики швеллера'!$A$6:$A$41,0))))/10-INDEX('Геом. характеристики швеллера'!$I$6:$I$41,MATCH('без учета бимомента и без тяжей'!$J72,'Геом. характеристики швеллера'!$A$6:$A$41,0))</f>
        <v>304.99536051316215</v>
      </c>
      <c r="M72" s="50">
        <f>(8*$E$17*$E$19/($E$12^2))/(COS(M$64*PI()/180)/(INDEX('Геом. характеристики швеллера'!$K$6:$K$41,MATCH('без учета бимомента и без тяжей'!$J72,'Геом. характеристики швеллера'!$A$6:$A$41,0)))+SIN(M$64*PI()/180)/(INDEX('Геом. характеристики швеллера'!$O$6:$O$41,MATCH('без учета бимомента и без тяжей'!$J72,'Геом. характеристики швеллера'!$A$6:$A$41,0))))/10-INDEX('Геом. характеристики швеллера'!$I$6:$I$41,MATCH('без учета бимомента и без тяжей'!$J72,'Геом. характеристики швеллера'!$A$6:$A$41,0))</f>
        <v>222.91879238961087</v>
      </c>
      <c r="N72" s="50">
        <f>(8*$E$17*$E$19/($E$12^2))/(COS(N$64*PI()/180)/(INDEX('Геом. характеристики швеллера'!$K$6:$K$41,MATCH('без учета бимомента и без тяжей'!$J72,'Геом. характеристики швеллера'!$A$6:$A$41,0)))+SIN(N$64*PI()/180)/(INDEX('Геом. характеристики швеллера'!$O$6:$O$41,MATCH('без учета бимомента и без тяжей'!$J72,'Геом. характеристики швеллера'!$A$6:$A$41,0))))/10-INDEX('Геом. характеристики швеллера'!$I$6:$I$41,MATCH('без учета бимомента и без тяжей'!$J72,'Геом. характеристики швеллера'!$A$6:$A$41,0))</f>
        <v>175.48227690374233</v>
      </c>
      <c r="O72" s="50">
        <f>(8*$E$17*$E$19/($E$12^2))/(COS(O$64*PI()/180)/(INDEX('Геом. характеристики швеллера'!$K$6:$K$41,MATCH('без учета бимомента и без тяжей'!$J72,'Геом. характеристики швеллера'!$A$6:$A$41,0)))+SIN(O$64*PI()/180)/(INDEX('Геом. характеристики швеллера'!$O$6:$O$41,MATCH('без учета бимомента и без тяжей'!$J72,'Геом. характеристики швеллера'!$A$6:$A$41,0))))/10-INDEX('Геом. характеристики швеллера'!$I$6:$I$41,MATCH('без учета бимомента и без тяжей'!$J72,'Геом. характеристики швеллера'!$A$6:$A$41,0))</f>
        <v>144.816799247804</v>
      </c>
      <c r="P72" s="50">
        <f>(8*$E$17*$E$19/($E$12^2))/(COS(P$64*PI()/180)/(INDEX('Геом. характеристики швеллера'!$K$6:$K$41,MATCH('без учета бимомента и без тяжей'!$J72,'Геом. характеристики швеллера'!$A$6:$A$41,0)))+SIN(P$64*PI()/180)/(INDEX('Геом. характеристики швеллера'!$O$6:$O$41,MATCH('без учета бимомента и без тяжей'!$J72,'Геом. характеристики швеллера'!$A$6:$A$41,0))))/10-INDEX('Геом. характеристики швеллера'!$I$6:$I$41,MATCH('без учета бимомента и без тяжей'!$J72,'Геом. характеристики швеллера'!$A$6:$A$41,0))</f>
        <v>123.55469378222953</v>
      </c>
      <c r="Q72" s="50">
        <f>(8*$E$17*$E$19/($E$12^2))/(COS(Q$64*PI()/180)/(INDEX('Геом. характеристики швеллера'!$K$6:$K$41,MATCH('без учета бимомента и без тяжей'!$J72,'Геом. характеристики швеллера'!$A$6:$A$41,0)))+SIN(Q$64*PI()/180)/(INDEX('Геом. характеристики швеллера'!$O$6:$O$41,MATCH('без учета бимомента и без тяжей'!$J72,'Геом. характеристики швеллера'!$A$6:$A$41,0))))/10-INDEX('Геом. характеристики швеллера'!$I$6:$I$41,MATCH('без учета бимомента и без тяжей'!$J72,'Геом. характеристики швеллера'!$A$6:$A$41,0))</f>
        <v>108.10658158750928</v>
      </c>
    </row>
    <row r="73" spans="1:17" x14ac:dyDescent="0.25">
      <c r="B73"/>
      <c r="C73" s="5">
        <f>E39*10*E12^2*(COS($E$16*PI()/180))/8/1000</f>
        <v>24.16688205744904</v>
      </c>
      <c r="D73" s="2" t="s">
        <v>15</v>
      </c>
      <c r="J73" s="40" t="s">
        <v>80</v>
      </c>
      <c r="K73" s="50">
        <f>(8*$E$17*$E$19/($E$12^2))/(COS(K$64*PI()/180)/(INDEX('Геом. характеристики швеллера'!$K$6:$K$41,MATCH('без учета бимомента и без тяжей'!$J73,'Геом. характеристики швеллера'!$A$6:$A$41,0)))+SIN(K$64*PI()/180)/(INDEX('Геом. характеристики швеллера'!$O$6:$O$41,MATCH('без учета бимомента и без тяжей'!$J73,'Геом. характеристики швеллера'!$A$6:$A$41,0))))/10-INDEX('Геом. характеристики швеллера'!$I$6:$I$41,MATCH('без учета бимомента и без тяжей'!$J73,'Геом. характеристики швеллера'!$A$6:$A$41,0))</f>
        <v>564.5</v>
      </c>
      <c r="L73" s="50">
        <f>(8*$E$17*$E$19/($E$12^2))/(COS(L$64*PI()/180)/(INDEX('Геом. характеристики швеллера'!$K$6:$K$41,MATCH('без учета бимомента и без тяжей'!$J73,'Геом. характеристики швеллера'!$A$6:$A$41,0)))+SIN(L$64*PI()/180)/(INDEX('Геом. характеристики швеллера'!$O$6:$O$41,MATCH('без учета бимомента и без тяжей'!$J73,'Геом. характеристики швеллера'!$A$6:$A$41,0))))/10-INDEX('Геом. характеристики швеллера'!$I$6:$I$41,MATCH('без учета бимомента и без тяжей'!$J73,'Геом. характеристики швеллера'!$A$6:$A$41,0))</f>
        <v>342.98621243921372</v>
      </c>
      <c r="M73" s="50">
        <f>(8*$E$17*$E$19/($E$12^2))/(COS(M$64*PI()/180)/(INDEX('Геом. характеристики швеллера'!$K$6:$K$41,MATCH('без учета бимомента и без тяжей'!$J73,'Геом. характеристики швеллера'!$A$6:$A$41,0)))+SIN(M$64*PI()/180)/(INDEX('Геом. характеристики швеллера'!$O$6:$O$41,MATCH('без учета бимомента и без тяжей'!$J73,'Геом. характеристики швеллера'!$A$6:$A$41,0))))/10-INDEX('Геом. характеристики швеллера'!$I$6:$I$41,MATCH('без учета бимомента и без тяжей'!$J73,'Геом. характеристики швеллера'!$A$6:$A$41,0))</f>
        <v>245.23041653457739</v>
      </c>
      <c r="N73" s="50">
        <f>(8*$E$17*$E$19/($E$12^2))/(COS(N$64*PI()/180)/(INDEX('Геом. характеристики швеллера'!$K$6:$K$41,MATCH('без учета бимомента и без тяжей'!$J73,'Геом. характеристики швеллера'!$A$6:$A$41,0)))+SIN(N$64*PI()/180)/(INDEX('Геом. характеристики швеллера'!$O$6:$O$41,MATCH('без учета бимомента и без тяжей'!$J73,'Геом. характеристики швеллера'!$A$6:$A$41,0))))/10-INDEX('Геом. характеристики швеллера'!$I$6:$I$41,MATCH('без учета бимомента и без тяжей'!$J73,'Геом. характеристики швеллера'!$A$6:$A$41,0))</f>
        <v>190.52961933767841</v>
      </c>
      <c r="O73" s="50">
        <f>(8*$E$17*$E$19/($E$12^2))/(COS(O$64*PI()/180)/(INDEX('Геом. характеристики швеллера'!$K$6:$K$41,MATCH('без учета бимомента и без тяжей'!$J73,'Геом. характеристики швеллера'!$A$6:$A$41,0)))+SIN(O$64*PI()/180)/(INDEX('Геом. характеристики швеллера'!$O$6:$O$41,MATCH('без учета бимомента и без тяжей'!$J73,'Геом. характеристики швеллера'!$A$6:$A$41,0))))/10-INDEX('Геом. характеристики швеллера'!$I$6:$I$41,MATCH('без учета бимомента и без тяжей'!$J73,'Геом. характеристики швеллера'!$A$6:$A$41,0))</f>
        <v>155.83625629902986</v>
      </c>
      <c r="P73" s="50">
        <f>(8*$E$17*$E$19/($E$12^2))/(COS(P$64*PI()/180)/(INDEX('Геом. характеристики швеллера'!$K$6:$K$41,MATCH('без учета бимомента и без тяжей'!$J73,'Геом. характеристики швеллера'!$A$6:$A$41,0)))+SIN(P$64*PI()/180)/(INDEX('Геом. характеристики швеллера'!$O$6:$O$41,MATCH('без учета бимомента и без тяжей'!$J73,'Геом. характеристики швеллера'!$A$6:$A$41,0))))/10-INDEX('Геом. характеристики швеллера'!$I$6:$I$41,MATCH('без учета бимомента и без тяжей'!$J73,'Геом. характеристики швеллера'!$A$6:$A$41,0))</f>
        <v>132.07691994340234</v>
      </c>
      <c r="Q73" s="50">
        <f>(8*$E$17*$E$19/($E$12^2))/(COS(Q$64*PI()/180)/(INDEX('Геом. характеристики швеллера'!$K$6:$K$41,MATCH('без учета бимомента и без тяжей'!$J73,'Геом. характеристики швеллера'!$A$6:$A$41,0)))+SIN(Q$64*PI()/180)/(INDEX('Геом. характеристики швеллера'!$O$6:$O$41,MATCH('без учета бимомента и без тяжей'!$J73,'Геом. характеристики швеллера'!$A$6:$A$41,0))))/10-INDEX('Геом. характеристики швеллера'!$I$6:$I$41,MATCH('без учета бимомента и без тяжей'!$J73,'Геом. характеристики швеллера'!$A$6:$A$41,0))</f>
        <v>114.95871838080369</v>
      </c>
    </row>
    <row r="74" spans="1:17" x14ac:dyDescent="0.25">
      <c r="J74" s="40" t="s">
        <v>81</v>
      </c>
      <c r="K74" s="50">
        <f>(8*$E$17*$E$19/($E$12^2))/(COS(K$64*PI()/180)/(INDEX('Геом. характеристики швеллера'!$K$6:$K$41,MATCH('без учета бимомента и без тяжей'!$J74,'Геом. характеристики швеллера'!$A$6:$A$41,0)))+SIN(K$64*PI()/180)/(INDEX('Геом. характеристики швеллера'!$O$6:$O$41,MATCH('без учета бимомента и без тяжей'!$J74,'Геом. характеристики швеллера'!$A$6:$A$41,0))))/10-INDEX('Геом. характеристики швеллера'!$I$6:$I$41,MATCH('без учета бимомента и без тяжей'!$J74,'Геом. характеристики швеллера'!$A$6:$A$41,0))</f>
        <v>616.20000000000005</v>
      </c>
      <c r="L74" s="50">
        <f>(8*$E$17*$E$19/($E$12^2))/(COS(L$64*PI()/180)/(INDEX('Геом. характеристики швеллера'!$K$6:$K$41,MATCH('без учета бимомента и без тяжей'!$J74,'Геом. характеристики швеллера'!$A$6:$A$41,0)))+SIN(L$64*PI()/180)/(INDEX('Геом. характеристики швеллера'!$O$6:$O$41,MATCH('без учета бимомента и без тяжей'!$J74,'Геом. характеристики швеллера'!$A$6:$A$41,0))))/10-INDEX('Геом. характеристики швеллера'!$I$6:$I$41,MATCH('без учета бимомента и без тяжей'!$J74,'Геом. характеристики швеллера'!$A$6:$A$41,0))</f>
        <v>385.80153210776001</v>
      </c>
      <c r="M74" s="50">
        <f>(8*$E$17*$E$19/($E$12^2))/(COS(M$64*PI()/180)/(INDEX('Геом. характеристики швеллера'!$K$6:$K$41,MATCH('без учета бимомента и без тяжей'!$J74,'Геом. характеристики швеллера'!$A$6:$A$41,0)))+SIN(M$64*PI()/180)/(INDEX('Геом. характеристики швеллера'!$O$6:$O$41,MATCH('без учета бимомента и без тяжей'!$J74,'Геом. характеристики швеллера'!$A$6:$A$41,0))))/10-INDEX('Геом. характеристики швеллера'!$I$6:$I$41,MATCH('без учета бимомента и без тяжей'!$J74,'Геом. характеристики швеллера'!$A$6:$A$41,0))</f>
        <v>279.941144287523</v>
      </c>
      <c r="N74" s="50">
        <f>(8*$E$17*$E$19/($E$12^2))/(COS(N$64*PI()/180)/(INDEX('Геом. характеристики швеллера'!$K$6:$K$41,MATCH('без учета бимомента и без тяжей'!$J74,'Геом. характеристики швеллера'!$A$6:$A$41,0)))+SIN(N$64*PI()/180)/(INDEX('Геом. характеристики швеллера'!$O$6:$O$41,MATCH('без учета бимомента и без тяжей'!$J74,'Геом. характеристики швеллера'!$A$6:$A$41,0))))/10-INDEX('Геом. характеристики швеллера'!$I$6:$I$41,MATCH('без учета бимомента и без тяжей'!$J74,'Геом. характеристики швеллера'!$A$6:$A$41,0))</f>
        <v>219.53673789850794</v>
      </c>
      <c r="O74" s="50">
        <f>(8*$E$17*$E$19/($E$12^2))/(COS(O$64*PI()/180)/(INDEX('Геом. характеристики швеллера'!$K$6:$K$41,MATCH('без учета бимомента и без тяжей'!$J74,'Геом. характеристики швеллера'!$A$6:$A$41,0)))+SIN(O$64*PI()/180)/(INDEX('Геом. характеристики швеллера'!$O$6:$O$41,MATCH('без учета бимомента и без тяжей'!$J74,'Геом. характеристики швеллера'!$A$6:$A$41,0))))/10-INDEX('Геом. характеристики швеллера'!$I$6:$I$41,MATCH('без учета бимомента и без тяжей'!$J74,'Геом. характеристики швеллера'!$A$6:$A$41,0))</f>
        <v>180.78421428734697</v>
      </c>
      <c r="P74" s="50">
        <f>(8*$E$17*$E$19/($E$12^2))/(COS(P$64*PI()/180)/(INDEX('Геом. характеристики швеллера'!$K$6:$K$41,MATCH('без учета бимомента и без тяжей'!$J74,'Геом. характеристики швеллера'!$A$6:$A$41,0)))+SIN(P$64*PI()/180)/(INDEX('Геом. характеристики швеллера'!$O$6:$O$41,MATCH('без учета бимомента и без тяжей'!$J74,'Геом. характеристики швеллера'!$A$6:$A$41,0))))/10-INDEX('Геом. характеристики швеллера'!$I$6:$I$41,MATCH('без учета бимомента и без тяжей'!$J74,'Геом. характеристики швеллера'!$A$6:$A$41,0))</f>
        <v>154.04766842932068</v>
      </c>
      <c r="Q74" s="50">
        <f>(8*$E$17*$E$19/($E$12^2))/(COS(Q$64*PI()/180)/(INDEX('Геом. характеристики швеллера'!$K$6:$K$41,MATCH('без учета бимомента и без тяжей'!$J74,'Геом. характеристики швеллера'!$A$6:$A$41,0)))+SIN(Q$64*PI()/180)/(INDEX('Геом. характеристики швеллера'!$O$6:$O$41,MATCH('без учета бимомента и без тяжей'!$J74,'Геом. характеристики швеллера'!$A$6:$A$41,0))))/10-INDEX('Геом. характеристики швеллера'!$I$6:$I$41,MATCH('без учета бимомента и без тяжей'!$J74,'Геом. характеристики швеллера'!$A$6:$A$41,0))</f>
        <v>134.68740672210848</v>
      </c>
    </row>
    <row r="75" spans="1:17" x14ac:dyDescent="0.25">
      <c r="B75"/>
      <c r="J75" s="40" t="s">
        <v>82</v>
      </c>
      <c r="K75" s="50">
        <f>(8*$E$17*$E$19/($E$12^2))/(COS(K$64*PI()/180)/(INDEX('Геом. характеристики швеллера'!$K$6:$K$41,MATCH('без учета бимомента и без тяжей'!$J75,'Геом. характеристики швеллера'!$A$6:$A$41,0)))+SIN(K$64*PI()/180)/(INDEX('Геом. характеристики швеллера'!$O$6:$O$41,MATCH('без учета бимомента и без тяжей'!$J75,'Геом. характеристики швеллера'!$A$6:$A$41,0))))/10-INDEX('Геом. характеристики швеллера'!$I$6:$I$41,MATCH('без учета бимомента и без тяжей'!$J75,'Геом. характеристики швеллера'!$A$6:$A$41,0))</f>
        <v>711.2</v>
      </c>
      <c r="L75" s="50">
        <f>(8*$E$17*$E$19/($E$12^2))/(COS(L$64*PI()/180)/(INDEX('Геом. характеристики швеллера'!$K$6:$K$41,MATCH('без учета бимомента и без тяжей'!$J75,'Геом. характеристики швеллера'!$A$6:$A$41,0)))+SIN(L$64*PI()/180)/(INDEX('Геом. характеристики швеллера'!$O$6:$O$41,MATCH('без учета бимомента и без тяжей'!$J75,'Геом. характеристики швеллера'!$A$6:$A$41,0))))/10-INDEX('Геом. характеристики швеллера'!$I$6:$I$41,MATCH('без учета бимомента и без тяжей'!$J75,'Геом. характеристики швеллера'!$A$6:$A$41,0))</f>
        <v>425.82183444921577</v>
      </c>
      <c r="M75" s="50">
        <f>(8*$E$17*$E$19/($E$12^2))/(COS(M$64*PI()/180)/(INDEX('Геом. характеристики швеллера'!$K$6:$K$41,MATCH('без учета бимомента и без тяжей'!$J75,'Геом. характеристики швеллера'!$A$6:$A$41,0)))+SIN(M$64*PI()/180)/(INDEX('Геом. характеристики швеллера'!$O$6:$O$41,MATCH('без учета бимомента и без тяжей'!$J75,'Геом. характеристики швеллера'!$A$6:$A$41,0))))/10-INDEX('Геом. характеристики швеллера'!$I$6:$I$41,MATCH('без учета бимомента и без тяжей'!$J75,'Геом. характеристики швеллера'!$A$6:$A$41,0))</f>
        <v>302.67794023982378</v>
      </c>
      <c r="N75" s="50">
        <f>(8*$E$17*$E$19/($E$12^2))/(COS(N$64*PI()/180)/(INDEX('Геом. характеристики швеллера'!$K$6:$K$41,MATCH('без учета бимомента и без тяжей'!$J75,'Геом. характеристики швеллера'!$A$6:$A$41,0)))+SIN(N$64*PI()/180)/(INDEX('Геом. характеристики швеллера'!$O$6:$O$41,MATCH('без учета бимомента и без тяжей'!$J75,'Геом. характеристики швеллера'!$A$6:$A$41,0))))/10-INDEX('Геом. характеристики швеллера'!$I$6:$I$41,MATCH('без учета бимомента и без тяжей'!$J75,'Геом. характеристики швеллера'!$A$6:$A$41,0))</f>
        <v>234.49652870767696</v>
      </c>
      <c r="O75" s="50">
        <f>(8*$E$17*$E$19/($E$12^2))/(COS(O$64*PI()/180)/(INDEX('Геом. характеристики швеллера'!$K$6:$K$41,MATCH('без учета бимомента и без тяжей'!$J75,'Геом. характеристики швеллера'!$A$6:$A$41,0)))+SIN(O$64*PI()/180)/(INDEX('Геом. характеристики швеллера'!$O$6:$O$41,MATCH('без учета бимомента и без тяжей'!$J75,'Геом. характеристики швеллера'!$A$6:$A$41,0))))/10-INDEX('Геом. характеристики швеллера'!$I$6:$I$41,MATCH('без учета бимомента и без тяжей'!$J75,'Геом. характеристики швеллера'!$A$6:$A$41,0))</f>
        <v>191.51775936991262</v>
      </c>
      <c r="P75" s="50">
        <f>(8*$E$17*$E$19/($E$12^2))/(COS(P$64*PI()/180)/(INDEX('Геом. характеристики швеллера'!$K$6:$K$41,MATCH('без учета бимомента и без тяжей'!$J75,'Геом. характеристики швеллера'!$A$6:$A$41,0)))+SIN(P$64*PI()/180)/(INDEX('Геом. характеристики швеллера'!$O$6:$O$41,MATCH('без учета бимомента и без тяжей'!$J75,'Геом. характеристики швеллера'!$A$6:$A$41,0))))/10-INDEX('Геом. характеристики швеллера'!$I$6:$I$41,MATCH('без учета бимомента и без тяжей'!$J75,'Геом. характеристики швеллера'!$A$6:$A$41,0))</f>
        <v>162.19997890969177</v>
      </c>
      <c r="Q75" s="50">
        <f>(8*$E$17*$E$19/($E$12^2))/(COS(Q$64*PI()/180)/(INDEX('Геом. характеристики швеллера'!$K$6:$K$41,MATCH('без учета бимомента и без тяжей'!$J75,'Геом. характеристики швеллера'!$A$6:$A$41,0)))+SIN(Q$64*PI()/180)/(INDEX('Геом. характеристики швеллера'!$O$6:$O$41,MATCH('без учета бимомента и без тяжей'!$J75,'Геом. характеристики швеллера'!$A$6:$A$41,0))))/10-INDEX('Геом. характеристики швеллера'!$I$6:$I$41,MATCH('без учета бимомента и без тяжей'!$J75,'Геом. характеристики швеллера'!$A$6:$A$41,0))</f>
        <v>141.13320873658941</v>
      </c>
    </row>
    <row r="76" spans="1:17" x14ac:dyDescent="0.25">
      <c r="J76" s="40" t="s">
        <v>83</v>
      </c>
      <c r="K76" s="50">
        <f>(8*$E$17*$E$19/($E$12^2))/(COS(K$64*PI()/180)/(INDEX('Геом. характеристики швеллера'!$K$6:$K$41,MATCH('без учета бимомента и без тяжей'!$J76,'Геом. характеристики швеллера'!$A$6:$A$41,0)))+SIN(K$64*PI()/180)/(INDEX('Геом. характеристики швеллера'!$O$6:$O$41,MATCH('без учета бимомента и без тяжей'!$J76,'Геом. характеристики швеллера'!$A$6:$A$41,0))))/10-INDEX('Геом. характеристики швеллера'!$I$6:$I$41,MATCH('без учета бимомента и без тяжей'!$J76,'Геом. характеристики швеллера'!$A$6:$A$41,0))</f>
        <v>900.6</v>
      </c>
      <c r="L76" s="50">
        <f>(8*$E$17*$E$19/($E$12^2))/(COS(L$64*PI()/180)/(INDEX('Геом. характеристики швеллера'!$K$6:$K$41,MATCH('без учета бимомента и без тяжей'!$J76,'Геом. характеристики швеллера'!$A$6:$A$41,0)))+SIN(L$64*PI()/180)/(INDEX('Геом. характеристики швеллера'!$O$6:$O$41,MATCH('без учета бимомента и без тяжей'!$J76,'Геом. характеристики швеллера'!$A$6:$A$41,0))))/10-INDEX('Геом. характеристики швеллера'!$I$6:$I$41,MATCH('без учета бимомента и без тяжей'!$J76,'Геом. характеристики швеллера'!$A$6:$A$41,0))</f>
        <v>533.21783783884814</v>
      </c>
      <c r="M76" s="50">
        <f>(8*$E$17*$E$19/($E$12^2))/(COS(M$64*PI()/180)/(INDEX('Геом. характеристики швеллера'!$K$6:$K$41,MATCH('без учета бимомента и без тяжей'!$J76,'Геом. характеристики швеллера'!$A$6:$A$41,0)))+SIN(M$64*PI()/180)/(INDEX('Геом. характеристики швеллера'!$O$6:$O$41,MATCH('без учета бимомента и без тяжей'!$J76,'Геом. характеристики швеллера'!$A$6:$A$41,0))))/10-INDEX('Геом. характеристики швеллера'!$I$6:$I$41,MATCH('без учета бимомента и без тяжей'!$J76,'Геом. характеристики швеллера'!$A$6:$A$41,0))</f>
        <v>377.42419455140578</v>
      </c>
      <c r="N76" s="50">
        <f>(8*$E$17*$E$19/($E$12^2))/(COS(N$64*PI()/180)/(INDEX('Геом. характеристики швеллера'!$K$6:$K$41,MATCH('без учета бимомента и без тяжей'!$J76,'Геом. характеристики швеллера'!$A$6:$A$41,0)))+SIN(N$64*PI()/180)/(INDEX('Геом. характеристики швеллера'!$O$6:$O$41,MATCH('без учета бимомента и без тяжей'!$J76,'Геом. характеристики швеллера'!$A$6:$A$41,0))))/10-INDEX('Геом. характеристики швеллера'!$I$6:$I$41,MATCH('без учета бимомента и без тяжей'!$J76,'Геом. характеристики швеллера'!$A$6:$A$41,0))</f>
        <v>291.85890334772984</v>
      </c>
      <c r="O76" s="50">
        <f>(8*$E$17*$E$19/($E$12^2))/(COS(O$64*PI()/180)/(INDEX('Геом. характеристики швеллера'!$K$6:$K$41,MATCH('без учета бимомента и без тяжей'!$J76,'Геом. характеристики швеллера'!$A$6:$A$41,0)))+SIN(O$64*PI()/180)/(INDEX('Геом. характеристики швеллера'!$O$6:$O$41,MATCH('без учета бимомента и без тяжей'!$J76,'Геом. характеристики швеллера'!$A$6:$A$41,0))))/10-INDEX('Геом. характеристики швеллера'!$I$6:$I$41,MATCH('без учета бимомента и без тяжей'!$J76,'Геом. характеристики швеллера'!$A$6:$A$41,0))</f>
        <v>238.17180774046733</v>
      </c>
      <c r="P76" s="50">
        <f>(8*$E$17*$E$19/($E$12^2))/(COS(P$64*PI()/180)/(INDEX('Геом. характеристики швеллера'!$K$6:$K$41,MATCH('без учета бимомента и без тяжей'!$J76,'Геом. характеристики швеллера'!$A$6:$A$41,0)))+SIN(P$64*PI()/180)/(INDEX('Геом. характеристики швеллера'!$O$6:$O$41,MATCH('без учета бимомента и без тяжей'!$J76,'Геом. характеристики швеллера'!$A$6:$A$41,0))))/10-INDEX('Геом. характеристики швеллера'!$I$6:$I$41,MATCH('без учета бимомента и без тяжей'!$J76,'Геом. характеристики швеллера'!$A$6:$A$41,0))</f>
        <v>201.65791011519036</v>
      </c>
      <c r="Q76" s="50">
        <f>(8*$E$17*$E$19/($E$12^2))/(COS(Q$64*PI()/180)/(INDEX('Геом. характеристики швеллера'!$K$6:$K$41,MATCH('без учета бимомента и без тяжей'!$J76,'Геом. характеристики швеллера'!$A$6:$A$41,0)))+SIN(Q$64*PI()/180)/(INDEX('Геом. характеристики швеллера'!$O$6:$O$41,MATCH('без учета бимомента и без тяжей'!$J76,'Геом. характеристики швеллера'!$A$6:$A$41,0))))/10-INDEX('Геом. характеристики швеллера'!$I$6:$I$41,MATCH('без учета бимомента и без тяжей'!$J76,'Геом. характеристики швеллера'!$A$6:$A$41,0))</f>
        <v>175.47275972037534</v>
      </c>
    </row>
    <row r="77" spans="1:17" x14ac:dyDescent="0.25">
      <c r="B77"/>
      <c r="C77" s="5">
        <f>E39*10*E12^2*(SIN($E$16*PI()/180))/8/1000</f>
        <v>2.5400416574039792</v>
      </c>
      <c r="D77" s="2" t="s">
        <v>15</v>
      </c>
      <c r="J77" s="40" t="s">
        <v>84</v>
      </c>
      <c r="K77" s="50">
        <f>(8*$E$17*$E$19/($E$12^2))/(COS(K$64*PI()/180)/(INDEX('Геом. характеристики швеллера'!$K$6:$K$41,MATCH('без учета бимомента и без тяжей'!$J77,'Геом. характеристики швеллера'!$A$6:$A$41,0)))+SIN(K$64*PI()/180)/(INDEX('Геом. характеристики швеллера'!$O$6:$O$41,MATCH('без учета бимомента и без тяжей'!$J77,'Геом. характеристики швеллера'!$A$6:$A$41,0))))/10-INDEX('Геом. характеристики швеллера'!$I$6:$I$41,MATCH('без учета бимомента и без тяжей'!$J77,'Геом. характеристики швеллера'!$A$6:$A$41,0))</f>
        <v>1137.5999999999999</v>
      </c>
      <c r="L77" s="50">
        <f>(8*$E$17*$E$19/($E$12^2))/(COS(L$64*PI()/180)/(INDEX('Геом. характеристики швеллера'!$K$6:$K$41,MATCH('без учета бимомента и без тяжей'!$J77,'Геом. характеристики швеллера'!$A$6:$A$41,0)))+SIN(L$64*PI()/180)/(INDEX('Геом. характеристики швеллера'!$O$6:$O$41,MATCH('без учета бимомента и без тяжей'!$J77,'Геом. характеристики швеллера'!$A$6:$A$41,0))))/10-INDEX('Геом. характеристики швеллера'!$I$6:$I$41,MATCH('без учета бимомента и без тяжей'!$J77,'Геом. характеристики швеллера'!$A$6:$A$41,0))</f>
        <v>674.22242762755195</v>
      </c>
      <c r="M77" s="50">
        <f>(8*$E$17*$E$19/($E$12^2))/(COS(M$64*PI()/180)/(INDEX('Геом. характеристики швеллера'!$K$6:$K$41,MATCH('без учета бимомента и без тяжей'!$J77,'Геом. характеристики швеллера'!$A$6:$A$41,0)))+SIN(M$64*PI()/180)/(INDEX('Геом. характеристики швеллера'!$O$6:$O$41,MATCH('без учета бимомента и без тяжей'!$J77,'Геом. характеристики швеллера'!$A$6:$A$41,0))))/10-INDEX('Геом. характеристики швеллера'!$I$6:$I$41,MATCH('без учета бимомента и без тяжей'!$J77,'Геом. характеристики швеллера'!$A$6:$A$41,0))</f>
        <v>477.84800191261445</v>
      </c>
      <c r="N77" s="50">
        <f>(8*$E$17*$E$19/($E$12^2))/(COS(N$64*PI()/180)/(INDEX('Геом. характеристики швеллера'!$K$6:$K$41,MATCH('без учета бимомента и без тяжей'!$J77,'Геом. характеристики швеллера'!$A$6:$A$41,0)))+SIN(N$64*PI()/180)/(INDEX('Геом. характеристики швеллера'!$O$6:$O$41,MATCH('без учета бимомента и без тяжей'!$J77,'Геом. характеристики швеллера'!$A$6:$A$41,0))))/10-INDEX('Геом. характеристики швеллера'!$I$6:$I$41,MATCH('без учета бимомента и без тяжей'!$J77,'Геом. характеристики швеллера'!$A$6:$A$41,0))</f>
        <v>370.02703787543754</v>
      </c>
      <c r="O77" s="50">
        <f>(8*$E$17*$E$19/($E$12^2))/(COS(O$64*PI()/180)/(INDEX('Геом. характеристики швеллера'!$K$6:$K$41,MATCH('без учета бимомента и без тяжей'!$J77,'Геом. характеристики швеллера'!$A$6:$A$41,0)))+SIN(O$64*PI()/180)/(INDEX('Геом. характеристики швеллера'!$O$6:$O$41,MATCH('без учета бимомента и без тяжей'!$J77,'Геом. характеристики швеллера'!$A$6:$A$41,0))))/10-INDEX('Геом. характеристики швеллера'!$I$6:$I$41,MATCH('без учета бимомента и без тяжей'!$J77,'Геом. характеристики швеллера'!$A$6:$A$41,0))</f>
        <v>302.38740997391039</v>
      </c>
      <c r="P77" s="50">
        <f>(8*$E$17*$E$19/($E$12^2))/(COS(P$64*PI()/180)/(INDEX('Геом. характеристики швеллера'!$K$6:$K$41,MATCH('без учета бимомента и без тяжей'!$J77,'Геом. характеристики швеллера'!$A$6:$A$41,0)))+SIN(P$64*PI()/180)/(INDEX('Геом. характеристики швеллера'!$O$6:$O$41,MATCH('без учета бимомента и без тяжей'!$J77,'Геом. характеристики швеллера'!$A$6:$A$41,0))))/10-INDEX('Геом. характеристики швеллера'!$I$6:$I$41,MATCH('без учета бимомента и без тяжей'!$J77,'Геом. характеристики швеллера'!$A$6:$A$41,0))</f>
        <v>256.38907752468469</v>
      </c>
      <c r="Q77" s="50">
        <f>(8*$E$17*$E$19/($E$12^2))/(COS(Q$64*PI()/180)/(INDEX('Геом. характеристики швеллера'!$K$6:$K$41,MATCH('без учета бимомента и без тяжей'!$J77,'Геом. характеристики швеллера'!$A$6:$A$41,0)))+SIN(Q$64*PI()/180)/(INDEX('Геом. характеристики швеллера'!$O$6:$O$41,MATCH('без учета бимомента и без тяжей'!$J77,'Геом. характеристики швеллера'!$A$6:$A$41,0))))/10-INDEX('Геом. характеристики швеллера'!$I$6:$I$41,MATCH('без учета бимомента и без тяжей'!$J77,'Геом. характеристики швеллера'!$A$6:$A$41,0))</f>
        <v>223.40479864217659</v>
      </c>
    </row>
    <row r="78" spans="1:17" x14ac:dyDescent="0.25">
      <c r="J78" s="40" t="s">
        <v>85</v>
      </c>
      <c r="K78" s="50">
        <f>(8*$E$17*$E$19/($E$12^2))/(COS(K$64*PI()/180)/(INDEX('Геом. характеристики швеллера'!$K$6:$K$41,MATCH('без учета бимомента и без тяжей'!$J78,'Геом. характеристики швеллера'!$A$6:$A$41,0)))+SIN(K$64*PI()/180)/(INDEX('Геом. характеристики швеллера'!$O$6:$O$41,MATCH('без учета бимомента и без тяжей'!$J78,'Геом. характеристики швеллера'!$A$6:$A$41,0))))/10-INDEX('Геом. характеристики швеллера'!$I$6:$I$41,MATCH('без учета бимомента и без тяжей'!$J78,'Геом. характеристики швеллера'!$A$6:$A$41,0))</f>
        <v>1450.6999999999998</v>
      </c>
      <c r="L78" s="50">
        <f>(8*$E$17*$E$19/($E$12^2))/(COS(L$64*PI()/180)/(INDEX('Геом. характеристики швеллера'!$K$6:$K$41,MATCH('без учета бимомента и без тяжей'!$J78,'Геом. характеристики швеллера'!$A$6:$A$41,0)))+SIN(L$64*PI()/180)/(INDEX('Геом. характеристики швеллера'!$O$6:$O$41,MATCH('без учета бимомента и без тяжей'!$J78,'Геом. характеристики швеллера'!$A$6:$A$41,0))))/10-INDEX('Геом. характеристики швеллера'!$I$6:$I$41,MATCH('без учета бимомента и без тяжей'!$J78,'Геом. характеристики швеллера'!$A$6:$A$41,0))</f>
        <v>833.90265750949538</v>
      </c>
      <c r="M78" s="50">
        <f>(8*$E$17*$E$19/($E$12^2))/(COS(M$64*PI()/180)/(INDEX('Геом. характеристики швеллера'!$K$6:$K$41,MATCH('без учета бимомента и без тяжей'!$J78,'Геом. характеристики швеллера'!$A$6:$A$41,0)))+SIN(M$64*PI()/180)/(INDEX('Геом. характеристики швеллера'!$O$6:$O$41,MATCH('без учета бимомента и без тяжей'!$J78,'Геом. характеристики швеллера'!$A$6:$A$41,0))))/10-INDEX('Геом. характеристики швеллера'!$I$6:$I$41,MATCH('без учета бимомента и без тяжей'!$J78,'Геом. характеристики швеллера'!$A$6:$A$41,0))</f>
        <v>583.54111437400093</v>
      </c>
      <c r="N78" s="50">
        <f>(8*$E$17*$E$19/($E$12^2))/(COS(N$64*PI()/180)/(INDEX('Геом. характеристики швеллера'!$K$6:$K$41,MATCH('без учета бимомента и без тяжей'!$J78,'Геом. характеристики швеллера'!$A$6:$A$41,0)))+SIN(N$64*PI()/180)/(INDEX('Геом. характеристики швеллера'!$O$6:$O$41,MATCH('без учета бимомента и без тяжей'!$J78,'Геом. характеристики швеллера'!$A$6:$A$41,0))))/10-INDEX('Геом. характеристики швеллера'!$I$6:$I$41,MATCH('без учета бимомента и без тяжей'!$J78,'Геом. характеристики швеллера'!$A$6:$A$41,0))</f>
        <v>448.72816058492066</v>
      </c>
      <c r="O78" s="50">
        <f>(8*$E$17*$E$19/($E$12^2))/(COS(O$64*PI()/180)/(INDEX('Геом. характеристики швеллера'!$K$6:$K$41,MATCH('без учета бимомента и без тяжей'!$J78,'Геом. характеристики швеллера'!$A$6:$A$41,0)))+SIN(O$64*PI()/180)/(INDEX('Геом. характеристики швеллера'!$O$6:$O$41,MATCH('без учета бимомента и без тяжей'!$J78,'Геом. характеристики швеллера'!$A$6:$A$41,0))))/10-INDEX('Геом. характеристики швеллера'!$I$6:$I$41,MATCH('без учета бимомента и без тяжей'!$J78,'Геом. характеристики швеллера'!$A$6:$A$41,0))</f>
        <v>365.08612577982205</v>
      </c>
      <c r="P78" s="50">
        <f>(8*$E$17*$E$19/($E$12^2))/(COS(P$64*PI()/180)/(INDEX('Геом. характеристики швеллера'!$K$6:$K$41,MATCH('без учета бимомента и без тяжей'!$J78,'Геом. характеристики швеллера'!$A$6:$A$41,0)))+SIN(P$64*PI()/180)/(INDEX('Геом. характеристики швеллера'!$O$6:$O$41,MATCH('без учета бимомента и без тяжей'!$J78,'Геом. характеристики швеллера'!$A$6:$A$41,0))))/10-INDEX('Геом. характеристики швеллера'!$I$6:$I$41,MATCH('без учета бимомента и без тяжей'!$J78,'Геом. характеристики швеллера'!$A$6:$A$41,0))</f>
        <v>308.60387618146382</v>
      </c>
      <c r="Q78" s="50">
        <f>(8*$E$17*$E$19/($E$12^2))/(COS(Q$64*PI()/180)/(INDEX('Геом. характеристики швеллера'!$K$6:$K$41,MATCH('без учета бимомента и без тяжей'!$J78,'Геом. характеристики швеллера'!$A$6:$A$41,0)))+SIN(Q$64*PI()/180)/(INDEX('Геом. характеристики швеллера'!$O$6:$O$41,MATCH('без учета бимомента и без тяжей'!$J78,'Геом. характеристики швеллера'!$A$6:$A$41,0))))/10-INDEX('Геом. характеристики швеллера'!$I$6:$I$41,MATCH('без учета бимомента и без тяжей'!$J78,'Геом. характеристики швеллера'!$A$6:$A$41,0))</f>
        <v>268.29305819092764</v>
      </c>
    </row>
    <row r="79" spans="1:17" x14ac:dyDescent="0.25">
      <c r="A79" s="93" t="s">
        <v>22</v>
      </c>
      <c r="B79" s="93"/>
      <c r="C79" s="93"/>
      <c r="D79" s="93"/>
      <c r="E79" s="93"/>
      <c r="F79" s="93"/>
      <c r="G79" s="93"/>
      <c r="J79" s="40" t="s">
        <v>86</v>
      </c>
      <c r="K79" s="50">
        <f>(8*$E$17*$E$19/($E$12^2))/(COS(K$64*PI()/180)/(INDEX('Геом. характеристики швеллера'!$K$6:$K$41,MATCH('без учета бимомента и без тяжей'!$J79,'Геом. характеристики швеллера'!$A$6:$A$41,0)))+SIN(K$64*PI()/180)/(INDEX('Геом. характеристики швеллера'!$O$6:$O$41,MATCH('без учета бимомента и без тяжей'!$J79,'Геом. характеристики швеллера'!$A$6:$A$41,0))))/10-INDEX('Геом. характеристики швеллера'!$I$6:$I$41,MATCH('без учета бимомента и без тяжей'!$J79,'Геом. характеристики швеллера'!$A$6:$A$41,0))</f>
        <v>1825.8</v>
      </c>
      <c r="L79" s="50">
        <f>(8*$E$17*$E$19/($E$12^2))/(COS(L$64*PI()/180)/(INDEX('Геом. характеристики швеллера'!$K$6:$K$41,MATCH('без учета бимомента и без тяжей'!$J79,'Геом. характеристики швеллера'!$A$6:$A$41,0)))+SIN(L$64*PI()/180)/(INDEX('Геом. характеристики швеллера'!$O$6:$O$41,MATCH('без учета бимомента и без тяжей'!$J79,'Геом. характеристики швеллера'!$A$6:$A$41,0))))/10-INDEX('Геом. характеристики швеллера'!$I$6:$I$41,MATCH('без учета бимомента и без тяжей'!$J79,'Геом. характеристики швеллера'!$A$6:$A$41,0))</f>
        <v>1017.8090198294828</v>
      </c>
      <c r="M79" s="50">
        <f>(8*$E$17*$E$19/($E$12^2))/(COS(M$64*PI()/180)/(INDEX('Геом. характеристики швеллера'!$K$6:$K$41,MATCH('без учета бимомента и без тяжей'!$J79,'Геом. характеристики швеллера'!$A$6:$A$41,0)))+SIN(M$64*PI()/180)/(INDEX('Геом. характеристики швеллера'!$O$6:$O$41,MATCH('без учета бимомента и без тяжей'!$J79,'Геом. характеристики швеллера'!$A$6:$A$41,0))))/10-INDEX('Геом. характеристики швеллера'!$I$6:$I$41,MATCH('без учета бимомента и без тяжей'!$J79,'Геом. характеристики швеллера'!$A$6:$A$41,0))</f>
        <v>703.55277864551977</v>
      </c>
      <c r="N79" s="50">
        <f>(8*$E$17*$E$19/($E$12^2))/(COS(N$64*PI()/180)/(INDEX('Геом. характеристики швеллера'!$K$6:$K$41,MATCH('без учета бимомента и без тяжей'!$J79,'Геом. характеристики швеллера'!$A$6:$A$41,0)))+SIN(N$64*PI()/180)/(INDEX('Геом. характеристики швеллера'!$O$6:$O$41,MATCH('без учета бимомента и без тяжей'!$J79,'Геом. характеристики швеллера'!$A$6:$A$41,0))))/10-INDEX('Геом. характеристики швеллера'!$I$6:$I$41,MATCH('без учета бимомента и без тяжей'!$J79,'Геом. характеристики швеллера'!$A$6:$A$41,0))</f>
        <v>537.4499030643907</v>
      </c>
      <c r="O79" s="50">
        <f>(8*$E$17*$E$19/($E$12^2))/(COS(O$64*PI()/180)/(INDEX('Геом. характеристики швеллера'!$K$6:$K$41,MATCH('без учета бимомента и без тяжей'!$J79,'Геом. характеристики швеллера'!$A$6:$A$41,0)))+SIN(O$64*PI()/180)/(INDEX('Геом. характеристики швеллера'!$O$6:$O$41,MATCH('без учета бимомента и без тяжей'!$J79,'Геом. характеристики швеллера'!$A$6:$A$41,0))))/10-INDEX('Геом. характеристики швеллера'!$I$6:$I$41,MATCH('без учета бимомента и без тяжей'!$J79,'Геом. характеристики швеллера'!$A$6:$A$41,0))</f>
        <v>435.46037906462323</v>
      </c>
      <c r="P79" s="50">
        <f>(8*$E$17*$E$19/($E$12^2))/(COS(P$64*PI()/180)/(INDEX('Геом. характеристики швеллера'!$K$6:$K$41,MATCH('без учета бимомента и без тяжей'!$J79,'Геом. характеристики швеллера'!$A$6:$A$41,0)))+SIN(P$64*PI()/180)/(INDEX('Геом. характеристики швеллера'!$O$6:$O$41,MATCH('без учета бимомента и без тяжей'!$J79,'Геом. характеристики швеллера'!$A$6:$A$41,0))))/10-INDEX('Геом. характеристики швеллера'!$I$6:$I$41,MATCH('без учета бимомента и без тяжей'!$J79,'Геом. характеристики швеллера'!$A$6:$A$41,0))</f>
        <v>367.03805232669333</v>
      </c>
      <c r="Q79" s="50">
        <f>(8*$E$17*$E$19/($E$12^2))/(COS(Q$64*PI()/180)/(INDEX('Геом. характеристики швеллера'!$K$6:$K$41,MATCH('без учета бимомента и без тяжей'!$J79,'Геом. характеристики швеллера'!$A$6:$A$41,0)))+SIN(Q$64*PI()/180)/(INDEX('Геом. характеристики швеллера'!$O$6:$O$41,MATCH('без учета бимомента и без тяжей'!$J79,'Геом. характеристики швеллера'!$A$6:$A$41,0))))/10-INDEX('Геом. характеристики швеллера'!$I$6:$I$41,MATCH('без учета бимомента и без тяжей'!$J79,'Геом. характеристики швеллера'!$A$6:$A$41,0))</f>
        <v>318.41972075679092</v>
      </c>
    </row>
    <row r="80" spans="1:17" x14ac:dyDescent="0.25">
      <c r="J80" s="40" t="s">
        <v>87</v>
      </c>
      <c r="K80" s="50">
        <f>(8*$E$17*$E$19/($E$12^2))/(COS(K$64*PI()/180)/(INDEX('Геом. характеристики швеллера'!$K$6:$K$41,MATCH('без учета бимомента и без тяжей'!$J80,'Геом. характеристики швеллера'!$A$6:$A$41,0)))+SIN(K$64*PI()/180)/(INDEX('Геом. характеристики швеллера'!$O$6:$O$41,MATCH('без учета бимомента и без тяжей'!$J80,'Геом. характеристики швеллера'!$A$6:$A$41,0))))/10-INDEX('Геом. характеристики швеллера'!$I$6:$I$41,MATCH('без учета бимомента и без тяжей'!$J80,'Геом. характеристики швеллера'!$A$6:$A$41,0))</f>
        <v>2286.6999999999998</v>
      </c>
      <c r="L80" s="50">
        <f>(8*$E$17*$E$19/($E$12^2))/(COS(L$64*PI()/180)/(INDEX('Геом. характеристики швеллера'!$K$6:$K$41,MATCH('без учета бимомента и без тяжей'!$J80,'Геом. характеристики швеллера'!$A$6:$A$41,0)))+SIN(L$64*PI()/180)/(INDEX('Геом. характеристики швеллера'!$O$6:$O$41,MATCH('без учета бимомента и без тяжей'!$J80,'Геом. характеристики швеллера'!$A$6:$A$41,0))))/10-INDEX('Геом. характеристики швеллера'!$I$6:$I$41,MATCH('без учета бимомента и без тяжей'!$J80,'Геом. характеристики швеллера'!$A$6:$A$41,0))</f>
        <v>1246.6490857554129</v>
      </c>
      <c r="M80" s="50">
        <f>(8*$E$17*$E$19/($E$12^2))/(COS(M$64*PI()/180)/(INDEX('Геом. характеристики швеллера'!$K$6:$K$41,MATCH('без учета бимомента и без тяжей'!$J80,'Геом. характеристики швеллера'!$A$6:$A$41,0)))+SIN(M$64*PI()/180)/(INDEX('Геом. характеристики швеллера'!$O$6:$O$41,MATCH('без учета бимомента и без тяжей'!$J80,'Геом. характеристики швеллера'!$A$6:$A$41,0))))/10-INDEX('Геом. характеристики швеллера'!$I$6:$I$41,MATCH('без учета бимомента и без тяжей'!$J80,'Геом. характеристики швеллера'!$A$6:$A$41,0))</f>
        <v>854.53261690867441</v>
      </c>
      <c r="N80" s="50">
        <f>(8*$E$17*$E$19/($E$12^2))/(COS(N$64*PI()/180)/(INDEX('Геом. характеристики швеллера'!$K$6:$K$41,MATCH('без учета бимомента и без тяжей'!$J80,'Геом. характеристики швеллера'!$A$6:$A$41,0)))+SIN(N$64*PI()/180)/(INDEX('Геом. характеристики швеллера'!$O$6:$O$41,MATCH('без учета бимомента и без тяжей'!$J80,'Геом. характеристики швеллера'!$A$6:$A$41,0))))/10-INDEX('Геом. характеристики швеллера'!$I$6:$I$41,MATCH('без учета бимомента и без тяжей'!$J80,'Геом. характеристики швеллера'!$A$6:$A$41,0))</f>
        <v>649.97714036630839</v>
      </c>
      <c r="O80" s="50">
        <f>(8*$E$17*$E$19/($E$12^2))/(COS(O$64*PI()/180)/(INDEX('Геом. характеристики швеллера'!$K$6:$K$41,MATCH('без учета бимомента и без тяжей'!$J80,'Геом. характеристики швеллера'!$A$6:$A$41,0)))+SIN(O$64*PI()/180)/(INDEX('Геом. характеристики швеллера'!$O$6:$O$41,MATCH('без учета бимомента и без тяжей'!$J80,'Геом. характеристики швеллера'!$A$6:$A$41,0))))/10-INDEX('Геом. характеристики швеллера'!$I$6:$I$41,MATCH('без учета бимомента и без тяжей'!$J80,'Геом. характеристики швеллера'!$A$6:$A$41,0))</f>
        <v>525.2833433741315</v>
      </c>
      <c r="P80" s="50">
        <f>(8*$E$17*$E$19/($E$12^2))/(COS(P$64*PI()/180)/(INDEX('Геом. характеристики швеллера'!$K$6:$K$41,MATCH('без учета бимомента и без тяжей'!$J80,'Геом. характеристики швеллера'!$A$6:$A$41,0)))+SIN(P$64*PI()/180)/(INDEX('Геом. характеристики швеллера'!$O$6:$O$41,MATCH('без учета бимомента и без тяжей'!$J80,'Геом. характеристики швеллера'!$A$6:$A$41,0))))/10-INDEX('Геом. характеристики швеллера'!$I$6:$I$41,MATCH('без учета бимомента и без тяжей'!$J80,'Геом. характеристики швеллера'!$A$6:$A$41,0))</f>
        <v>442.00751345452693</v>
      </c>
      <c r="Q80" s="50">
        <f>(8*$E$17*$E$19/($E$12^2))/(COS(Q$64*PI()/180)/(INDEX('Геом. характеристики швеллера'!$K$6:$K$41,MATCH('без учета бимомента и без тяжей'!$J80,'Геом. характеристики швеллера'!$A$6:$A$41,0)))+SIN(Q$64*PI()/180)/(INDEX('Геом. характеристики швеллера'!$O$6:$O$41,MATCH('без учета бимомента и без тяжей'!$J80,'Геом. характеристики швеллера'!$A$6:$A$41,0))))/10-INDEX('Геом. характеристики швеллера'!$I$6:$I$41,MATCH('без учета бимомента и без тяжей'!$J80,'Геом. характеристики швеллера'!$A$6:$A$41,0))</f>
        <v>383.01373970449396</v>
      </c>
    </row>
    <row r="81" spans="1:17" x14ac:dyDescent="0.25">
      <c r="B81"/>
      <c r="J81" s="40" t="s">
        <v>88</v>
      </c>
      <c r="K81" s="50">
        <f>(8*$E$17*$E$19/($E$12^2))/(COS(K$64*PI()/180)/(INDEX('Геом. характеристики швеллера'!$K$6:$K$41,MATCH('без учета бимомента и без тяжей'!$J81,'Геом. характеристики швеллера'!$A$6:$A$41,0)))+SIN(K$64*PI()/180)/(INDEX('Геом. характеристики швеллера'!$O$6:$O$41,MATCH('без учета бимомента и без тяжей'!$J81,'Геом. характеристики швеллера'!$A$6:$A$41,0))))/10-INDEX('Геом. характеристики швеллера'!$I$6:$I$41,MATCH('без учета бимомента и без тяжей'!$J81,'Геом. характеристики швеллера'!$A$6:$A$41,0))</f>
        <v>2842.9</v>
      </c>
      <c r="L81" s="50">
        <f>(8*$E$17*$E$19/($E$12^2))/(COS(L$64*PI()/180)/(INDEX('Геом. характеристики швеллера'!$K$6:$K$41,MATCH('без учета бимомента и без тяжей'!$J81,'Геом. характеристики швеллера'!$A$6:$A$41,0)))+SIN(L$64*PI()/180)/(INDEX('Геом. характеристики швеллера'!$O$6:$O$41,MATCH('без учета бимомента и без тяжей'!$J81,'Геом. характеристики швеллера'!$A$6:$A$41,0))))/10-INDEX('Геом. характеристики швеллера'!$I$6:$I$41,MATCH('без учета бимомента и без тяжей'!$J81,'Геом. характеристики швеллера'!$A$6:$A$41,0))</f>
        <v>1521.5493121360585</v>
      </c>
      <c r="M81" s="50">
        <f>(8*$E$17*$E$19/($E$12^2))/(COS(M$64*PI()/180)/(INDEX('Геом. характеристики швеллера'!$K$6:$K$41,MATCH('без учета бимомента и без тяжей'!$J81,'Геом. характеристики швеллера'!$A$6:$A$41,0)))+SIN(M$64*PI()/180)/(INDEX('Геом. характеристики швеллера'!$O$6:$O$41,MATCH('без учета бимомента и без тяжей'!$J81,'Геом. характеристики швеллера'!$A$6:$A$41,0))))/10-INDEX('Геом. характеристики швеллера'!$I$6:$I$41,MATCH('без учета бимомента и без тяжей'!$J81,'Геом. характеристики швеллера'!$A$6:$A$41,0))</f>
        <v>1036.022493937769</v>
      </c>
      <c r="N81" s="50">
        <f>(8*$E$17*$E$19/($E$12^2))/(COS(N$64*PI()/180)/(INDEX('Геом. характеристики швеллера'!$K$6:$K$41,MATCH('без учета бимомента и без тяжей'!$J81,'Геом. характеристики швеллера'!$A$6:$A$41,0)))+SIN(N$64*PI()/180)/(INDEX('Геом. характеристики швеллера'!$O$6:$O$41,MATCH('без учета бимомента и без тяжей'!$J81,'Геом. характеристики швеллера'!$A$6:$A$41,0))))/10-INDEX('Геом. характеристики швеллера'!$I$6:$I$41,MATCH('без учета бимомента и без тяжей'!$J81,'Геом. характеристики швеллера'!$A$6:$A$41,0))</f>
        <v>785.40152215920193</v>
      </c>
      <c r="O81" s="50">
        <f>(8*$E$17*$E$19/($E$12^2))/(COS(O$64*PI()/180)/(INDEX('Геом. характеристики швеллера'!$K$6:$K$41,MATCH('без учета бимомента и без тяжей'!$J81,'Геом. характеристики швеллера'!$A$6:$A$41,0)))+SIN(O$64*PI()/180)/(INDEX('Геом. характеристики швеллера'!$O$6:$O$41,MATCH('без учета бимомента и без тяжей'!$J81,'Геом. характеристики швеллера'!$A$6:$A$41,0))))/10-INDEX('Геом. характеристики швеллера'!$I$6:$I$41,MATCH('без учета бимомента и без тяжей'!$J81,'Геом. характеристики швеллера'!$A$6:$A$41,0))</f>
        <v>633.50712121380911</v>
      </c>
      <c r="P81" s="50">
        <f>(8*$E$17*$E$19/($E$12^2))/(COS(P$64*PI()/180)/(INDEX('Геом. характеристики швеллера'!$K$6:$K$41,MATCH('без учета бимомента и без тяжей'!$J81,'Геом. характеристики швеллера'!$A$6:$A$41,0)))+SIN(P$64*PI()/180)/(INDEX('Геом. характеристики швеллера'!$O$6:$O$41,MATCH('без учета бимомента и без тяжей'!$J81,'Геом. характеристики швеллера'!$A$6:$A$41,0))))/10-INDEX('Геом. характеристики швеллера'!$I$6:$I$41,MATCH('без учета бимомента и без тяжей'!$J81,'Геом. характеристики швеллера'!$A$6:$A$41,0))</f>
        <v>532.42987492425027</v>
      </c>
      <c r="Q81" s="50">
        <f>(8*$E$17*$E$19/($E$12^2))/(COS(Q$64*PI()/180)/(INDEX('Геом. характеристики швеллера'!$K$6:$K$41,MATCH('без учета бимомента и без тяжей'!$J81,'Геом. характеристики швеллера'!$A$6:$A$41,0)))+SIN(Q$64*PI()/180)/(INDEX('Геом. характеристики швеллера'!$O$6:$O$41,MATCH('без учета бимомента и без тяжей'!$J81,'Геом. характеристики швеллера'!$A$6:$A$41,0))))/10-INDEX('Геом. характеристики швеллера'!$I$6:$I$41,MATCH('без учета бимомента и без тяжей'!$J81,'Геом. характеристики швеллера'!$A$6:$A$41,0))</f>
        <v>460.99680270052414</v>
      </c>
    </row>
    <row r="82" spans="1:17" ht="16.5" thickBot="1" x14ac:dyDescent="0.3">
      <c r="J82" s="51" t="s">
        <v>89</v>
      </c>
      <c r="K82" s="52">
        <f>(8*$E$17*$E$19/($E$12^2))/(COS(K$64*PI()/180)/(INDEX('Геом. характеристики швеллера'!$K$6:$K$41,MATCH('без учета бимомента и без тяжей'!$J82,'Геом. характеристики швеллера'!$A$6:$A$41,0)))+SIN(K$64*PI()/180)/(INDEX('Геом. характеристики швеллера'!$O$6:$O$41,MATCH('без учета бимомента и без тяжей'!$J82,'Геом. характеристики швеллера'!$A$6:$A$41,0))))/10-INDEX('Геом. характеристики швеллера'!$I$6:$I$41,MATCH('без учета бимомента и без тяжей'!$J82,'Геом. характеристики швеллера'!$A$6:$A$41,0))</f>
        <v>3604.5</v>
      </c>
      <c r="L82" s="52">
        <f>(8*$E$17*$E$19/($E$12^2))/(COS(L$64*PI()/180)/(INDEX('Геом. характеристики швеллера'!$K$6:$K$41,MATCH('без учета бимомента и без тяжей'!$J82,'Геом. характеристики швеллера'!$A$6:$A$41,0)))+SIN(L$64*PI()/180)/(INDEX('Геом. характеристики швеллера'!$O$6:$O$41,MATCH('без учета бимомента и без тяжей'!$J82,'Геом. характеристики швеллера'!$A$6:$A$41,0))))/10-INDEX('Геом. характеристики швеллера'!$I$6:$I$41,MATCH('без учета бимомента и без тяжей'!$J82,'Геом. характеристики швеллера'!$A$6:$A$41,0))</f>
        <v>1874.4164219160864</v>
      </c>
      <c r="M82" s="52">
        <f>(8*$E$17*$E$19/($E$12^2))/(COS(M$64*PI()/180)/(INDEX('Геом. характеристики швеллера'!$K$6:$K$41,MATCH('без учета бимомента и без тяжей'!$J82,'Геом. характеристики швеллера'!$A$6:$A$41,0)))+SIN(M$64*PI()/180)/(INDEX('Геом. характеристики швеллера'!$O$6:$O$41,MATCH('без учета бимомента и без тяжей'!$J82,'Геом. характеристики швеллера'!$A$6:$A$41,0))))/10-INDEX('Геом. характеристики швеллера'!$I$6:$I$41,MATCH('без учета бимомента и без тяжей'!$J82,'Геом. характеристики швеллера'!$A$6:$A$41,0))</f>
        <v>1263.2198785286196</v>
      </c>
      <c r="N82" s="52">
        <f>(8*$E$17*$E$19/($E$12^2))/(COS(N$64*PI()/180)/(INDEX('Геом. характеристики швеллера'!$K$6:$K$41,MATCH('без учета бимомента и без тяжей'!$J82,'Геом. характеристики швеллера'!$A$6:$A$41,0)))+SIN(N$64*PI()/180)/(INDEX('Геом. характеристики швеллера'!$O$6:$O$41,MATCH('без учета бимомента и без тяжей'!$J82,'Геом. характеристики швеллера'!$A$6:$A$41,0))))/10-INDEX('Геом. характеристики швеллера'!$I$6:$I$41,MATCH('без учета бимомента и без тяжей'!$J82,'Геом. характеристики швеллера'!$A$6:$A$41,0))</f>
        <v>952.6530007843387</v>
      </c>
      <c r="O82" s="52">
        <f>(8*$E$17*$E$19/($E$12^2))/(COS(O$64*PI()/180)/(INDEX('Геом. характеристики швеллера'!$K$6:$K$41,MATCH('без учета бимомента и без тяжей'!$J82,'Геом. характеристики швеллера'!$A$6:$A$41,0)))+SIN(O$64*PI()/180)/(INDEX('Геом. характеристики швеллера'!$O$6:$O$41,MATCH('без учета бимомента и без тяжей'!$J82,'Геом. характеристики швеллера'!$A$6:$A$41,0))))/10-INDEX('Геом. характеристики швеллера'!$I$6:$I$41,MATCH('без учета бимомента и без тяжей'!$J82,'Геом. характеристики швеллера'!$A$6:$A$41,0))</f>
        <v>766.02010648750706</v>
      </c>
      <c r="P82" s="52">
        <f>(8*$E$17*$E$19/($E$12^2))/(COS(P$64*PI()/180)/(INDEX('Геом. характеристики швеллера'!$K$6:$K$41,MATCH('без учета бимомента и без тяжей'!$J82,'Геом. характеристики швеллера'!$A$6:$A$41,0)))+SIN(P$64*PI()/180)/(INDEX('Геом. характеристики швеллера'!$O$6:$O$41,MATCH('без учета бимомента и без тяжей'!$J82,'Геом. характеристики швеллера'!$A$6:$A$41,0))))/10-INDEX('Геом. характеристики швеллера'!$I$6:$I$41,MATCH('без учета бимомента и без тяжей'!$J82,'Геом. характеристики швеллера'!$A$6:$A$41,0))</f>
        <v>642.4781632163764</v>
      </c>
      <c r="Q82" s="52">
        <f>(8*$E$17*$E$19/($E$12^2))/(COS(Q$64*PI()/180)/(INDEX('Геом. характеристики швеллера'!$K$6:$K$41,MATCH('без учета бимомента и без тяжей'!$J82,'Геом. характеристики швеллера'!$A$6:$A$41,0)))+SIN(Q$64*PI()/180)/(INDEX('Геом. характеристики швеллера'!$O$6:$O$41,MATCH('без учета бимомента и без тяжей'!$J82,'Геом. характеристики швеллера'!$A$6:$A$41,0))))/10-INDEX('Геом. характеристики швеллера'!$I$6:$I$41,MATCH('без учета бимомента и без тяжей'!$J82,'Геом. характеристики швеллера'!$A$6:$A$41,0))</f>
        <v>555.47367377524222</v>
      </c>
    </row>
    <row r="83" spans="1:17" x14ac:dyDescent="0.25">
      <c r="J83" s="39" t="s">
        <v>189</v>
      </c>
      <c r="K83" s="53">
        <f>(8*$E$17*$E$19/($E$12^2))/(COS(K$64*PI()/180)/(INDEX('Геом. характеристики швеллера'!$K$6:$K$41,MATCH('без учета бимомента и без тяжей'!$J83,'Геом. характеристики швеллера'!$A$6:$A$41,0)))+SIN(K$64*PI()/180)/(INDEX('Геом. характеристики швеллера'!$O$6:$O$41,MATCH('без учета бимомента и без тяжей'!$J83,'Геом. характеристики швеллера'!$A$6:$A$41,0))))/10-INDEX('Геом. характеристики швеллера'!$I$6:$I$41,MATCH('без учета бимомента и без тяжей'!$J83,'Геом. характеристики швеллера'!$A$6:$A$41,0))</f>
        <v>38.840000000000003</v>
      </c>
      <c r="L83" s="53">
        <f>(8*$E$17*$E$19/($E$12^2))/(COS(L$64*PI()/180)/(INDEX('Геом. характеристики швеллера'!$K$6:$K$41,MATCH('без учета бимомента и без тяжей'!$J83,'Геом. характеристики швеллера'!$A$6:$A$41,0)))+SIN(L$64*PI()/180)/(INDEX('Геом. характеристики швеллера'!$O$6:$O$41,MATCH('без учета бимомента и без тяжей'!$J83,'Геом. характеристики швеллера'!$A$6:$A$41,0))))/10-INDEX('Геом. характеристики швеллера'!$I$6:$I$41,MATCH('без учета бимомента и без тяжей'!$J83,'Геом. характеристики швеллера'!$A$6:$A$41,0))</f>
        <v>29.786782481822645</v>
      </c>
      <c r="M83" s="53">
        <f>(8*$E$17*$E$19/($E$12^2))/(COS(M$64*PI()/180)/(INDEX('Геом. характеристики швеллера'!$K$6:$K$41,MATCH('без учета бимомента и без тяжей'!$J83,'Геом. характеристики швеллера'!$A$6:$A$41,0)))+SIN(M$64*PI()/180)/(INDEX('Геом. характеристики швеллера'!$O$6:$O$41,MATCH('без учета бимомента и без тяжей'!$J83,'Геом. характеристики швеллера'!$A$6:$A$41,0))))/10-INDEX('Геом. характеристики швеллера'!$I$6:$I$41,MATCH('без учета бимомента и без тяжей'!$J83,'Геом. характеристики швеллера'!$A$6:$A$41,0))</f>
        <v>24.024029804667808</v>
      </c>
      <c r="N83" s="53">
        <f>(8*$E$17*$E$19/($E$12^2))/(COS(N$64*PI()/180)/(INDEX('Геом. характеристики швеллера'!$K$6:$K$41,MATCH('без учета бимомента и без тяжей'!$J83,'Геом. характеристики швеллера'!$A$6:$A$41,0)))+SIN(N$64*PI()/180)/(INDEX('Геом. характеристики швеллера'!$O$6:$O$41,MATCH('без учета бимомента и без тяжей'!$J83,'Геом. характеристики швеллера'!$A$6:$A$41,0))))/10-INDEX('Геом. характеристики швеллера'!$I$6:$I$41,MATCH('без учета бимомента и без тяжей'!$J83,'Геом. характеристики швеллера'!$A$6:$A$41,0))</f>
        <v>20.068248295379487</v>
      </c>
      <c r="O83" s="53">
        <f>(8*$E$17*$E$19/($E$12^2))/(COS(O$64*PI()/180)/(INDEX('Геом. характеристики швеллера'!$K$6:$K$41,MATCH('без учета бимомента и без тяжей'!$J83,'Геом. характеристики швеллера'!$A$6:$A$41,0)))+SIN(O$64*PI()/180)/(INDEX('Геом. характеристики швеллера'!$O$6:$O$41,MATCH('без учета бимомента и без тяжей'!$J83,'Геом. характеристики швеллера'!$A$6:$A$41,0))))/10-INDEX('Геом. характеристики швеллера'!$I$6:$I$41,MATCH('без учета бимомента и без тяжей'!$J83,'Геом. характеристики швеллера'!$A$6:$A$41,0))</f>
        <v>17.213661476472247</v>
      </c>
      <c r="P83" s="53">
        <f>(8*$E$17*$E$19/($E$12^2))/(COS(P$64*PI()/180)/(INDEX('Геом. характеристики швеллера'!$K$6:$K$41,MATCH('без учета бимомента и без тяжей'!$J83,'Геом. характеристики швеллера'!$A$6:$A$41,0)))+SIN(P$64*PI()/180)/(INDEX('Геом. характеристики швеллера'!$O$6:$O$41,MATCH('без учета бимомента и без тяжей'!$J83,'Геом. характеристики швеллера'!$A$6:$A$41,0))))/10-INDEX('Геом. характеристики швеллера'!$I$6:$I$41,MATCH('без учета бимомента и без тяжей'!$J83,'Геом. характеристики швеллера'!$A$6:$A$41,0))</f>
        <v>15.082124204029832</v>
      </c>
      <c r="Q83" s="54">
        <f>(8*$E$17*$E$19/($E$12^2))/(COS(Q$64*PI()/180)/(INDEX('Геом. характеристики швеллера'!$K$6:$K$41,MATCH('без учета бимомента и без тяжей'!$J83,'Геом. характеристики швеллера'!$A$6:$A$41,0)))+SIN(Q$64*PI()/180)/(INDEX('Геом. характеристики швеллера'!$O$6:$O$41,MATCH('без учета бимомента и без тяжей'!$J83,'Геом. характеристики швеллера'!$A$6:$A$41,0))))/10-INDEX('Геом. характеристики швеллера'!$I$6:$I$41,MATCH('без учета бимомента и без тяжей'!$J83,'Геом. характеристики швеллера'!$A$6:$A$41,0))</f>
        <v>13.453261070770946</v>
      </c>
    </row>
    <row r="84" spans="1:17" x14ac:dyDescent="0.25">
      <c r="B84"/>
      <c r="D84" s="2">
        <f>C73*1000/(E28*E17*E19)+C77*1000/(E29*E17*E19)</f>
        <v>0.95904552378334929</v>
      </c>
      <c r="E84" s="115" t="str">
        <f>IF(D84&lt;1,"Условия прочности обеспечены","Условия прочности не обеспечены")</f>
        <v>Условия прочности обеспечены</v>
      </c>
      <c r="F84" s="115"/>
      <c r="G84" s="115"/>
      <c r="J84" s="40" t="s">
        <v>192</v>
      </c>
      <c r="K84" s="50">
        <f>(8*$E$17*$E$19/($E$12^2))/(COS(K$64*PI()/180)/(INDEX('Геом. характеристики швеллера'!$K$6:$K$41,MATCH('без учета бимомента и без тяжей'!$J84,'Геом. характеристики швеллера'!$A$6:$A$41,0)))+SIN(K$64*PI()/180)/(INDEX('Геом. характеристики швеллера'!$O$6:$O$41,MATCH('без учета бимомента и без тяжей'!$J84,'Геом. характеристики швеллера'!$A$6:$A$41,0))))/10-INDEX('Геом. характеристики швеллера'!$I$6:$I$41,MATCH('без учета бимомента и без тяжей'!$J84,'Геом. характеристики швеллера'!$A$6:$A$41,0))</f>
        <v>66.099999999999994</v>
      </c>
      <c r="L84" s="50">
        <f>(8*$E$17*$E$19/($E$12^2))/(COS(L$64*PI()/180)/(INDEX('Геом. характеристики швеллера'!$K$6:$K$41,MATCH('без учета бимомента и без тяжей'!$J84,'Геом. характеристики швеллера'!$A$6:$A$41,0)))+SIN(L$64*PI()/180)/(INDEX('Геом. характеристики швеллера'!$O$6:$O$41,MATCH('без учета бимомента и без тяжей'!$J84,'Геом. характеристики швеллера'!$A$6:$A$41,0))))/10-INDEX('Геом. характеристики швеллера'!$I$6:$I$41,MATCH('без учета бимомента и без тяжей'!$J84,'Геом. характеристики швеллера'!$A$6:$A$41,0))</f>
        <v>48.719991229853974</v>
      </c>
      <c r="M84" s="50">
        <f>(8*$E$17*$E$19/($E$12^2))/(COS(M$64*PI()/180)/(INDEX('Геом. характеристики швеллера'!$K$6:$K$41,MATCH('без учета бимомента и без тяжей'!$J84,'Геом. характеристики швеллера'!$A$6:$A$41,0)))+SIN(M$64*PI()/180)/(INDEX('Геом. характеристики швеллера'!$O$6:$O$41,MATCH('без учета бимомента и без тяжей'!$J84,'Геом. характеристики швеллера'!$A$6:$A$41,0))))/10-INDEX('Геом. характеристики швеллера'!$I$6:$I$41,MATCH('без учета бимомента и без тяжей'!$J84,'Геом. характеристики швеллера'!$A$6:$A$41,0))</f>
        <v>38.370503459352591</v>
      </c>
      <c r="N84" s="50">
        <f>(8*$E$17*$E$19/($E$12^2))/(COS(N$64*PI()/180)/(INDEX('Геом. характеристики швеллера'!$K$6:$K$41,MATCH('без учета бимомента и без тяжей'!$J84,'Геом. характеристики швеллера'!$A$6:$A$41,0)))+SIN(N$64*PI()/180)/(INDEX('Геом. характеристики швеллера'!$O$6:$O$41,MATCH('без учета бимомента и без тяжей'!$J84,'Геом. характеристики швеллера'!$A$6:$A$41,0))))/10-INDEX('Геом. характеристики швеллера'!$I$6:$I$41,MATCH('без учета бимомента и без тяжей'!$J84,'Геом. характеристики швеллера'!$A$6:$A$41,0))</f>
        <v>31.557980234051563</v>
      </c>
      <c r="O84" s="50">
        <f>(8*$E$17*$E$19/($E$12^2))/(COS(O$64*PI()/180)/(INDEX('Геом. характеристики швеллера'!$K$6:$K$41,MATCH('без учета бимомента и без тяжей'!$J84,'Геом. характеристики швеллера'!$A$6:$A$41,0)))+SIN(O$64*PI()/180)/(INDEX('Геом. характеристики швеллера'!$O$6:$O$41,MATCH('без учета бимомента и без тяжей'!$J84,'Геом. характеристики швеллера'!$A$6:$A$41,0))))/10-INDEX('Геом. характеристики швеллера'!$I$6:$I$41,MATCH('без учета бимомента и без тяжей'!$J84,'Геом. характеристики швеллера'!$A$6:$A$41,0))</f>
        <v>26.778050077967784</v>
      </c>
      <c r="P84" s="50">
        <f>(8*$E$17*$E$19/($E$12^2))/(COS(P$64*PI()/180)/(INDEX('Геом. характеристики швеллера'!$K$6:$K$41,MATCH('без учета бимомента и без тяжей'!$J84,'Геом. характеристики швеллера'!$A$6:$A$41,0)))+SIN(P$64*PI()/180)/(INDEX('Геом. характеристики швеллера'!$O$6:$O$41,MATCH('без учета бимомента и без тяжей'!$J84,'Геом. характеристики швеллера'!$A$6:$A$41,0))))/10-INDEX('Геом. характеристики швеллера'!$I$6:$I$41,MATCH('без учета бимомента и без тяжей'!$J84,'Геом. характеристики швеллера'!$A$6:$A$41,0))</f>
        <v>23.276903672925506</v>
      </c>
      <c r="Q84" s="55">
        <f>(8*$E$17*$E$19/($E$12^2))/(COS(Q$64*PI()/180)/(INDEX('Геом. характеристики швеллера'!$K$6:$K$41,MATCH('без учета бимомента и без тяжей'!$J84,'Геом. характеристики швеллера'!$A$6:$A$41,0)))+SIN(Q$64*PI()/180)/(INDEX('Геом. характеристики швеллера'!$O$6:$O$41,MATCH('без учета бимомента и без тяжей'!$J84,'Геом. характеристики швеллера'!$A$6:$A$41,0))))/10-INDEX('Геом. характеристики швеллера'!$I$6:$I$41,MATCH('без учета бимомента и без тяжей'!$J84,'Геом. характеристики швеллера'!$A$6:$A$41,0))</f>
        <v>20.635795619709469</v>
      </c>
    </row>
    <row r="85" spans="1:17" x14ac:dyDescent="0.25">
      <c r="J85" s="40" t="s">
        <v>195</v>
      </c>
      <c r="K85" s="50">
        <f>(8*$E$17*$E$19/($E$12^2))/(COS(K$64*PI()/180)/(INDEX('Геом. характеристики швеллера'!$K$6:$K$41,MATCH('без учета бимомента и без тяжей'!$J85,'Геом. характеристики швеллера'!$A$6:$A$41,0)))+SIN(K$64*PI()/180)/(INDEX('Геом. характеристики швеллера'!$O$6:$O$41,MATCH('без учета бимомента и без тяжей'!$J85,'Геом. характеристики швеллера'!$A$6:$A$41,0))))/10-INDEX('Геом. характеристики швеллера'!$I$6:$I$41,MATCH('без учета бимомента и без тяжей'!$J85,'Геом. характеристики швеллера'!$A$6:$A$41,0))</f>
        <v>100.95</v>
      </c>
      <c r="L85" s="50">
        <f>(8*$E$17*$E$19/($E$12^2))/(COS(L$64*PI()/180)/(INDEX('Геом. характеристики швеллера'!$K$6:$K$41,MATCH('без учета бимомента и без тяжей'!$J85,'Геом. характеристики швеллера'!$A$6:$A$41,0)))+SIN(L$64*PI()/180)/(INDEX('Геом. характеристики швеллера'!$O$6:$O$41,MATCH('без учета бимомента и без тяжей'!$J85,'Геом. характеристики швеллера'!$A$6:$A$41,0))))/10-INDEX('Геом. характеристики швеллера'!$I$6:$I$41,MATCH('без учета бимомента и без тяжей'!$J85,'Геом. характеристики швеллера'!$A$6:$A$41,0))</f>
        <v>60.932544329226161</v>
      </c>
      <c r="M85" s="50">
        <f>(8*$E$17*$E$19/($E$12^2))/(COS(M$64*PI()/180)/(INDEX('Геом. характеристики швеллера'!$K$6:$K$41,MATCH('без учета бимомента и без тяжей'!$J85,'Геом. характеристики швеллера'!$A$6:$A$41,0)))+SIN(M$64*PI()/180)/(INDEX('Геом. характеристики швеллера'!$O$6:$O$41,MATCH('без учета бимомента и без тяжей'!$J85,'Геом. характеристики швеллера'!$A$6:$A$41,0))))/10-INDEX('Геом. характеристики швеллера'!$I$6:$I$41,MATCH('без учета бимомента и без тяжей'!$J85,'Геом. характеристики швеллера'!$A$6:$A$41,0))</f>
        <v>42.830018518784321</v>
      </c>
      <c r="N85" s="50">
        <f>(8*$E$17*$E$19/($E$12^2))/(COS(N$64*PI()/180)/(INDEX('Геом. характеристики швеллера'!$K$6:$K$41,MATCH('без учета бимомента и без тяжей'!$J85,'Геом. характеристики швеллера'!$A$6:$A$41,0)))+SIN(N$64*PI()/180)/(INDEX('Геом. характеристики швеллера'!$O$6:$O$41,MATCH('без учета бимомента и без тяжей'!$J85,'Геом. характеристики швеллера'!$A$6:$A$41,0))))/10-INDEX('Геом. характеристики швеллера'!$I$6:$I$41,MATCH('без учета бимомента и без тяжей'!$J85,'Геом. характеристики швеллера'!$A$6:$A$41,0))</f>
        <v>32.579104045797322</v>
      </c>
      <c r="O85" s="50">
        <f>(8*$E$17*$E$19/($E$12^2))/(COS(O$64*PI()/180)/(INDEX('Геом. характеристики швеллера'!$K$6:$K$41,MATCH('без учета бимомента и без тяжей'!$J85,'Геом. характеристики швеллера'!$A$6:$A$41,0)))+SIN(O$64*PI()/180)/(INDEX('Геом. характеристики швеллера'!$O$6:$O$41,MATCH('без учета бимомента и без тяжей'!$J85,'Геом. характеристики швеллера'!$A$6:$A$41,0))))/10-INDEX('Геом. характеристики швеллера'!$I$6:$I$41,MATCH('без учета бимомента и без тяжей'!$J85,'Геом. характеристики швеллера'!$A$6:$A$41,0))</f>
        <v>26.032124014162488</v>
      </c>
      <c r="P85" s="50">
        <f>(8*$E$17*$E$19/($E$12^2))/(COS(P$64*PI()/180)/(INDEX('Геом. характеристики швеллера'!$K$6:$K$41,MATCH('без учета бимомента и без тяжей'!$J85,'Геом. характеристики швеллера'!$A$6:$A$41,0)))+SIN(P$64*PI()/180)/(INDEX('Геом. характеристики швеллера'!$O$6:$O$41,MATCH('без учета бимомента и без тяжей'!$J85,'Геом. характеристики швеллера'!$A$6:$A$41,0))))/10-INDEX('Геом. характеристики швеллера'!$I$6:$I$41,MATCH('без учета бимомента и без тяжей'!$J85,'Геом. характеристики швеллера'!$A$6:$A$41,0))</f>
        <v>21.528304503870022</v>
      </c>
      <c r="Q85" s="55">
        <f>(8*$E$17*$E$19/($E$12^2))/(COS(Q$64*PI()/180)/(INDEX('Геом. характеристики швеллера'!$K$6:$K$41,MATCH('без учета бимомента и без тяжей'!$J85,'Геом. характеристики швеллера'!$A$6:$A$41,0)))+SIN(Q$64*PI()/180)/(INDEX('Геом. характеристики швеллера'!$O$6:$O$41,MATCH('без учета бимомента и без тяжей'!$J85,'Геом. характеристики швеллера'!$A$6:$A$41,0))))/10-INDEX('Геом. характеристики швеллера'!$I$6:$I$41,MATCH('без учета бимомента и без тяжей'!$J85,'Геом. характеристики швеллера'!$A$6:$A$41,0))</f>
        <v>18.273478452576512</v>
      </c>
    </row>
    <row r="86" spans="1:17" x14ac:dyDescent="0.25">
      <c r="B86"/>
      <c r="J86" s="40" t="s">
        <v>196</v>
      </c>
      <c r="K86" s="50">
        <f>(8*$E$17*$E$19/($E$12^2))/(COS(K$64*PI()/180)/(INDEX('Геом. характеристики швеллера'!$K$6:$K$41,MATCH('без учета бимомента и без тяжей'!$J86,'Геом. характеристики швеллера'!$A$6:$A$41,0)))+SIN(K$64*PI()/180)/(INDEX('Геом. характеристики швеллера'!$O$6:$O$41,MATCH('без учета бимомента и без тяжей'!$J86,'Геом. характеристики швеллера'!$A$6:$A$41,0))))/10-INDEX('Геом. характеристики швеллера'!$I$6:$I$41,MATCH('без учета бимомента и без тяжей'!$J86,'Геом. характеристики швеллера'!$A$6:$A$41,0))</f>
        <v>158.92999999999998</v>
      </c>
      <c r="L86" s="50">
        <f>(8*$E$17*$E$19/($E$12^2))/(COS(L$64*PI()/180)/(INDEX('Геом. характеристики швеллера'!$K$6:$K$41,MATCH('без учета бимомента и без тяжей'!$J86,'Геом. характеристики швеллера'!$A$6:$A$41,0)))+SIN(L$64*PI()/180)/(INDEX('Геом. характеристики швеллера'!$O$6:$O$41,MATCH('без учета бимомента и без тяжей'!$J86,'Геом. характеристики швеллера'!$A$6:$A$41,0))))/10-INDEX('Геом. характеристики швеллера'!$I$6:$I$41,MATCH('без учета бимомента и без тяжей'!$J86,'Геом. характеристики швеллера'!$A$6:$A$41,0))</f>
        <v>110.31015579836514</v>
      </c>
      <c r="M86" s="50">
        <f>(8*$E$17*$E$19/($E$12^2))/(COS(M$64*PI()/180)/(INDEX('Геом. характеристики швеллера'!$K$6:$K$41,MATCH('без учета бимомента и без тяжей'!$J86,'Геом. характеристики швеллера'!$A$6:$A$41,0)))+SIN(M$64*PI()/180)/(INDEX('Геом. характеристики швеллера'!$O$6:$O$41,MATCH('без учета бимомента и без тяжей'!$J86,'Геом. характеристики швеллера'!$A$6:$A$41,0))))/10-INDEX('Геом. характеристики швеллера'!$I$6:$I$41,MATCH('без учета бимомента и без тяжей'!$J86,'Геом. характеристики швеллера'!$A$6:$A$41,0))</f>
        <v>84.110820981030074</v>
      </c>
      <c r="N86" s="50">
        <f>(8*$E$17*$E$19/($E$12^2))/(COS(N$64*PI()/180)/(INDEX('Геом. характеристики швеллера'!$K$6:$K$41,MATCH('без учета бимомента и без тяжей'!$J86,'Геом. характеристики швеллера'!$A$6:$A$41,0)))+SIN(N$64*PI()/180)/(INDEX('Геом. характеристики швеллера'!$O$6:$O$41,MATCH('без учета бимомента и без тяжей'!$J86,'Геом. характеристики швеллера'!$A$6:$A$41,0))))/10-INDEX('Геом. характеристики швеллера'!$I$6:$I$41,MATCH('без учета бимомента и без тяжей'!$J86,'Геом. характеристики швеллера'!$A$6:$A$41,0))</f>
        <v>67.849359906144954</v>
      </c>
      <c r="O86" s="50">
        <f>(8*$E$17*$E$19/($E$12^2))/(COS(O$64*PI()/180)/(INDEX('Геом. характеристики швеллера'!$K$6:$K$41,MATCH('без учета бимомента и без тяжей'!$J86,'Геом. характеристики швеллера'!$A$6:$A$41,0)))+SIN(O$64*PI()/180)/(INDEX('Геом. характеристики швеллера'!$O$6:$O$41,MATCH('без учета бимомента и без тяжей'!$J86,'Геом. характеристики швеллера'!$A$6:$A$41,0))))/10-INDEX('Геом. характеристики швеллера'!$I$6:$I$41,MATCH('без учета бимомента и без тяжей'!$J86,'Геом. характеристики швеллера'!$A$6:$A$41,0))</f>
        <v>56.865409699234817</v>
      </c>
      <c r="P86" s="50">
        <f>(8*$E$17*$E$19/($E$12^2))/(COS(P$64*PI()/180)/(INDEX('Геом. характеристики швеллера'!$K$6:$K$41,MATCH('без учета бимомента и без тяжей'!$J86,'Геом. характеристики швеллера'!$A$6:$A$41,0)))+SIN(P$64*PI()/180)/(INDEX('Геом. характеристики швеллера'!$O$6:$O$41,MATCH('без учета бимомента и без тяжей'!$J86,'Геом. характеристики швеллера'!$A$6:$A$41,0))))/10-INDEX('Геом. характеристики швеллера'!$I$6:$I$41,MATCH('без учета бимомента и без тяжей'!$J86,'Геом. характеристики швеллера'!$A$6:$A$41,0))</f>
        <v>49.024920725715219</v>
      </c>
      <c r="Q86" s="55">
        <f>(8*$E$17*$E$19/($E$12^2))/(COS(Q$64*PI()/180)/(INDEX('Геом. характеристики швеллера'!$K$6:$K$41,MATCH('без учета бимомента и без тяжей'!$J86,'Геом. характеристики швеллера'!$A$6:$A$41,0)))+SIN(Q$64*PI()/180)/(INDEX('Геом. характеристики швеллера'!$O$6:$O$41,MATCH('без учета бимомента и без тяжей'!$J86,'Геом. характеристики швеллера'!$A$6:$A$41,0))))/10-INDEX('Геом. характеристики швеллера'!$I$6:$I$41,MATCH('без учета бимомента и без тяжей'!$J86,'Геом. характеристики швеллера'!$A$6:$A$41,0))</f>
        <v>43.21391672207514</v>
      </c>
    </row>
    <row r="87" spans="1:17" x14ac:dyDescent="0.25">
      <c r="A87" s="2" t="s">
        <v>268</v>
      </c>
      <c r="J87" s="40" t="s">
        <v>197</v>
      </c>
      <c r="K87" s="50">
        <f>(8*$E$17*$E$19/($E$12^2))/(COS(K$64*PI()/180)/(INDEX('Геом. характеристики швеллера'!$K$6:$K$41,MATCH('без учета бимомента и без тяжей'!$J87,'Геом. характеристики швеллера'!$A$6:$A$41,0)))+SIN(K$64*PI()/180)/(INDEX('Геом. характеристики швеллера'!$O$6:$O$41,MATCH('без учета бимомента и без тяжей'!$J87,'Геом. характеристики швеллера'!$A$6:$A$41,0))))/10-INDEX('Геом. характеристики швеллера'!$I$6:$I$41,MATCH('без учета бимомента и без тяжей'!$J87,'Геом. характеристики швеллера'!$A$6:$A$41,0))</f>
        <v>233.44</v>
      </c>
      <c r="L87" s="50">
        <f>(8*$E$17*$E$19/($E$12^2))/(COS(L$64*PI()/180)/(INDEX('Геом. характеристики швеллера'!$K$6:$K$41,MATCH('без учета бимомента и без тяжей'!$J87,'Геом. характеристики швеллера'!$A$6:$A$41,0)))+SIN(L$64*PI()/180)/(INDEX('Геом. характеристики швеллера'!$O$6:$O$41,MATCH('без учета бимомента и без тяжей'!$J87,'Геом. характеристики швеллера'!$A$6:$A$41,0))))/10-INDEX('Геом. характеристики швеллера'!$I$6:$I$41,MATCH('без учета бимомента и без тяжей'!$J87,'Геом. характеристики швеллера'!$A$6:$A$41,0))</f>
        <v>158.21378835677618</v>
      </c>
      <c r="M87" s="50">
        <f>(8*$E$17*$E$19/($E$12^2))/(COS(M$64*PI()/180)/(INDEX('Геом. характеристики швеллера'!$K$6:$K$41,MATCH('без учета бимомента и без тяжей'!$J87,'Геом. характеристики швеллера'!$A$6:$A$41,0)))+SIN(M$64*PI()/180)/(INDEX('Геом. характеристики швеллера'!$O$6:$O$41,MATCH('без учета бимомента и без тяжей'!$J87,'Геом. характеристики швеллера'!$A$6:$A$41,0))))/10-INDEX('Геом. характеристики швеллера'!$I$6:$I$41,MATCH('без учета бимомента и без тяжей'!$J87,'Геом. характеристики швеллера'!$A$6:$A$41,0))</f>
        <v>119.213596237796</v>
      </c>
      <c r="N87" s="50">
        <f>(8*$E$17*$E$19/($E$12^2))/(COS(N$64*PI()/180)/(INDEX('Геом. характеристики швеллера'!$K$6:$K$41,MATCH('без учета бимомента и без тяжей'!$J87,'Геом. характеристики швеллера'!$A$6:$A$41,0)))+SIN(N$64*PI()/180)/(INDEX('Геом. характеристики швеллера'!$O$6:$O$41,MATCH('без учета бимомента и без тяжей'!$J87,'Геом. характеристики швеллера'!$A$6:$A$41,0))))/10-INDEX('Геом. характеристики швеллера'!$I$6:$I$41,MATCH('без учета бимомента и без тяжей'!$J87,'Геом. характеристики швеллера'!$A$6:$A$41,0))</f>
        <v>95.520430389382454</v>
      </c>
      <c r="O87" s="50">
        <f>(8*$E$17*$E$19/($E$12^2))/(COS(O$64*PI()/180)/(INDEX('Геом. характеристики швеллера'!$K$6:$K$41,MATCH('без учета бимомента и без тяжей'!$J87,'Геом. характеристики швеллера'!$A$6:$A$41,0)))+SIN(O$64*PI()/180)/(INDEX('Геом. характеристики швеллера'!$O$6:$O$41,MATCH('без учета бимомента и без тяжей'!$J87,'Геом. характеристики швеллера'!$A$6:$A$41,0))))/10-INDEX('Геом. характеристики швеллера'!$I$6:$I$41,MATCH('без учета бимомента и без тяжей'!$J87,'Геом. характеристики швеллера'!$A$6:$A$41,0))</f>
        <v>79.730637233515324</v>
      </c>
      <c r="P87" s="50">
        <f>(8*$E$17*$E$19/($E$12^2))/(COS(P$64*PI()/180)/(INDEX('Геом. характеристики швеллера'!$K$6:$K$41,MATCH('без учета бимомента и без тяжей'!$J87,'Геом. характеристики швеллера'!$A$6:$A$41,0)))+SIN(P$64*PI()/180)/(INDEX('Геом. характеристики швеллера'!$O$6:$O$41,MATCH('без учета бимомента и без тяжей'!$J87,'Геом. характеристики швеллера'!$A$6:$A$41,0))))/10-INDEX('Геом. характеристики швеллера'!$I$6:$I$41,MATCH('без учета бимомента и без тяжей'!$J87,'Геом. характеристики швеллера'!$A$6:$A$41,0))</f>
        <v>68.560725759333224</v>
      </c>
      <c r="Q87" s="55">
        <f>(8*$E$17*$E$19/($E$12^2))/(COS(Q$64*PI()/180)/(INDEX('Геом. характеристики швеллера'!$K$6:$K$41,MATCH('без учета бимомента и без тяжей'!$J87,'Геом. характеристики швеллера'!$A$6:$A$41,0)))+SIN(Q$64*PI()/180)/(INDEX('Геом. характеристики швеллера'!$O$6:$O$41,MATCH('без учета бимомента и без тяжей'!$J87,'Геом. характеристики швеллера'!$A$6:$A$41,0))))/10-INDEX('Геом. характеристики швеллера'!$I$6:$I$41,MATCH('без учета бимомента и без тяжей'!$J87,'Геом. характеристики швеллера'!$A$6:$A$41,0))</f>
        <v>60.333079687152868</v>
      </c>
    </row>
    <row r="88" spans="1:17" x14ac:dyDescent="0.25">
      <c r="J88" s="40" t="s">
        <v>200</v>
      </c>
      <c r="K88" s="50">
        <f>(8*$E$17*$E$19/($E$12^2))/(COS(K$64*PI()/180)/(INDEX('Геом. характеристики швеллера'!$K$6:$K$41,MATCH('без учета бимомента и без тяжей'!$J88,'Геом. характеристики швеллера'!$A$6:$A$41,0)))+SIN(K$64*PI()/180)/(INDEX('Геом. характеристики швеллера'!$O$6:$O$41,MATCH('без учета бимомента и без тяжей'!$J88,'Геом. характеристики швеллера'!$A$6:$A$41,0))))/10-INDEX('Геом. характеристики швеллера'!$I$6:$I$41,MATCH('без учета бимомента и без тяжей'!$J88,'Геом. характеристики швеллера'!$A$6:$A$41,0))</f>
        <v>325.62</v>
      </c>
      <c r="L88" s="50">
        <f>(8*$E$17*$E$19/($E$12^2))/(COS(L$64*PI()/180)/(INDEX('Геом. характеристики швеллера'!$K$6:$K$41,MATCH('без учета бимомента и без тяжей'!$J88,'Геом. характеристики швеллера'!$A$6:$A$41,0)))+SIN(L$64*PI()/180)/(INDEX('Геом. характеристики швеллера'!$O$6:$O$41,MATCH('без учета бимомента и без тяжей'!$J88,'Геом. характеристики швеллера'!$A$6:$A$41,0))))/10-INDEX('Геом. характеристики швеллера'!$I$6:$I$41,MATCH('без учета бимомента и без тяжей'!$J88,'Геом. характеристики швеллера'!$A$6:$A$41,0))</f>
        <v>217.29089964713575</v>
      </c>
      <c r="M88" s="50">
        <f>(8*$E$17*$E$19/($E$12^2))/(COS(M$64*PI()/180)/(INDEX('Геом. характеристики швеллера'!$K$6:$K$41,MATCH('без учета бимомента и без тяжей'!$J88,'Геом. характеристики швеллера'!$A$6:$A$41,0)))+SIN(M$64*PI()/180)/(INDEX('Геом. характеристики швеллера'!$O$6:$O$41,MATCH('без учета бимомента и без тяжей'!$J88,'Геом. характеристики швеллера'!$A$6:$A$41,0))))/10-INDEX('Геом. характеристики швеллера'!$I$6:$I$41,MATCH('без учета бимомента и без тяжей'!$J88,'Геом. характеристики швеллера'!$A$6:$A$41,0))</f>
        <v>162.56437196067438</v>
      </c>
      <c r="N88" s="50">
        <f>(8*$E$17*$E$19/($E$12^2))/(COS(N$64*PI()/180)/(INDEX('Геом. характеристики швеллера'!$K$6:$K$41,MATCH('без учета бимомента и без тяжей'!$J88,'Геом. характеристики швеллера'!$A$6:$A$41,0)))+SIN(N$64*PI()/180)/(INDEX('Геом. характеристики швеллера'!$O$6:$O$41,MATCH('без учета бимомента и без тяжей'!$J88,'Геом. характеристики швеллера'!$A$6:$A$41,0))))/10-INDEX('Геом. характеристики швеллера'!$I$6:$I$41,MATCH('без учета бимомента и без тяжей'!$J88,'Геом. характеристики швеллера'!$A$6:$A$41,0))</f>
        <v>129.77896800370644</v>
      </c>
      <c r="O88" s="50">
        <f>(8*$E$17*$E$19/($E$12^2))/(COS(O$64*PI()/180)/(INDEX('Геом. характеристики швеллера'!$K$6:$K$41,MATCH('без учета бимомента и без тяжей'!$J88,'Геом. характеристики швеллера'!$A$6:$A$41,0)))+SIN(O$64*PI()/180)/(INDEX('Геом. характеристики швеллера'!$O$6:$O$41,MATCH('без учета бимомента и без тяжей'!$J88,'Геом. характеристики швеллера'!$A$6:$A$41,0))))/10-INDEX('Геом. характеристики швеллера'!$I$6:$I$41,MATCH('без учета бимомента и без тяжей'!$J88,'Геом. характеристики швеллера'!$A$6:$A$41,0))</f>
        <v>108.11816426671679</v>
      </c>
      <c r="P88" s="50">
        <f>(8*$E$17*$E$19/($E$12^2))/(COS(P$64*PI()/180)/(INDEX('Геом. характеристики швеллера'!$K$6:$K$41,MATCH('без учета бимомента и без тяжей'!$J88,'Геом. характеристики швеллера'!$A$6:$A$41,0)))+SIN(P$64*PI()/180)/(INDEX('Геом. характеристики швеллера'!$O$6:$O$41,MATCH('без учета бимомента и без тяжей'!$J88,'Геом. характеристики швеллера'!$A$6:$A$41,0))))/10-INDEX('Геом. характеристики швеллера'!$I$6:$I$41,MATCH('без учета бимомента и без тяжей'!$J88,'Геом. характеристики швеллера'!$A$6:$A$41,0))</f>
        <v>92.882896613687649</v>
      </c>
      <c r="Q88" s="55">
        <f>(8*$E$17*$E$19/($E$12^2))/(COS(Q$64*PI()/180)/(INDEX('Геом. характеристики швеллера'!$K$6:$K$41,MATCH('без учета бимомента и без тяжей'!$J88,'Геом. характеристики швеллера'!$A$6:$A$41,0)))+SIN(Q$64*PI()/180)/(INDEX('Геом. характеристики швеллера'!$O$6:$O$41,MATCH('без учета бимомента и без тяжей'!$J88,'Геом. характеристики швеллера'!$A$6:$A$41,0))))/10-INDEX('Геом. характеристики швеллера'!$I$6:$I$41,MATCH('без учета бимомента и без тяжей'!$J88,'Геом. характеристики швеллера'!$A$6:$A$41,0))</f>
        <v>81.704864933487215</v>
      </c>
    </row>
    <row r="89" spans="1:17" x14ac:dyDescent="0.25">
      <c r="A89" s="2" t="s">
        <v>269</v>
      </c>
      <c r="J89" s="40" t="s">
        <v>202</v>
      </c>
      <c r="K89" s="50">
        <f>(8*$E$17*$E$19/($E$12^2))/(COS(K$64*PI()/180)/(INDEX('Геом. характеристики швеллера'!$K$6:$K$41,MATCH('без учета бимомента и без тяжей'!$J89,'Геом. характеристики швеллера'!$A$6:$A$41,0)))+SIN(K$64*PI()/180)/(INDEX('Геом. характеристики швеллера'!$O$6:$O$41,MATCH('без учета бимомента и без тяжей'!$J89,'Геом. характеристики швеллера'!$A$6:$A$41,0))))/10-INDEX('Геом. характеристики швеллера'!$I$6:$I$41,MATCH('без учета бимомента и без тяжей'!$J89,'Геом. характеристики швеллера'!$A$6:$A$41,0))</f>
        <v>436.03999999999996</v>
      </c>
      <c r="L89" s="50">
        <f>(8*$E$17*$E$19/($E$12^2))/(COS(L$64*PI()/180)/(INDEX('Геом. характеристики швеллера'!$K$6:$K$41,MATCH('без учета бимомента и без тяжей'!$J89,'Геом. характеристики швеллера'!$A$6:$A$41,0)))+SIN(L$64*PI()/180)/(INDEX('Геом. характеристики швеллера'!$O$6:$O$41,MATCH('без учета бимомента и без тяжей'!$J89,'Геом. характеристики швеллера'!$A$6:$A$41,0))))/10-INDEX('Геом. характеристики швеллера'!$I$6:$I$41,MATCH('без учета бимомента и без тяжей'!$J89,'Геом. характеристики швеллера'!$A$6:$A$41,0))</f>
        <v>287.02774560065393</v>
      </c>
      <c r="M89" s="50">
        <f>(8*$E$17*$E$19/($E$12^2))/(COS(M$64*PI()/180)/(INDEX('Геом. характеристики швеллера'!$K$6:$K$41,MATCH('без учета бимомента и без тяжей'!$J89,'Геом. характеристики швеллера'!$A$6:$A$41,0)))+SIN(M$64*PI()/180)/(INDEX('Геом. характеристики швеллера'!$O$6:$O$41,MATCH('без учета бимомента и без тяжей'!$J89,'Геом. характеристики швеллера'!$A$6:$A$41,0))))/10-INDEX('Геом. характеристики швеллера'!$I$6:$I$41,MATCH('без учета бимомента и без тяжей'!$J89,'Геом. характеристики швеллера'!$A$6:$A$41,0))</f>
        <v>213.4249415954213</v>
      </c>
      <c r="N89" s="50">
        <f>(8*$E$17*$E$19/($E$12^2))/(COS(N$64*PI()/180)/(INDEX('Геом. характеристики швеллера'!$K$6:$K$41,MATCH('без учета бимомента и без тяжей'!$J89,'Геом. характеристики швеллера'!$A$6:$A$41,0)))+SIN(N$64*PI()/180)/(INDEX('Геом. характеристики швеллера'!$O$6:$O$41,MATCH('без учета бимомента и без тяжей'!$J89,'Геом. характеристики швеллера'!$A$6:$A$41,0))))/10-INDEX('Геом. характеристики швеллера'!$I$6:$I$41,MATCH('без учета бимомента и без тяжей'!$J89,'Геом. характеристики швеллера'!$A$6:$A$41,0))</f>
        <v>169.85355554613602</v>
      </c>
      <c r="O89" s="50">
        <f>(8*$E$17*$E$19/($E$12^2))/(COS(O$64*PI()/180)/(INDEX('Геом. характеристики швеллера'!$K$6:$K$41,MATCH('без учета бимомента и без тяжей'!$J89,'Геом. характеристики швеллера'!$A$6:$A$41,0)))+SIN(O$64*PI()/180)/(INDEX('Геом. характеристики швеллера'!$O$6:$O$41,MATCH('без учета бимомента и без тяжей'!$J89,'Геом. характеристики швеллера'!$A$6:$A$41,0))))/10-INDEX('Геом. характеристики швеллера'!$I$6:$I$41,MATCH('без учета бимомента и без тяжей'!$J89,'Геом. характеристики швеллера'!$A$6:$A$41,0))</f>
        <v>141.27600186766747</v>
      </c>
      <c r="P89" s="50">
        <f>(8*$E$17*$E$19/($E$12^2))/(COS(P$64*PI()/180)/(INDEX('Геом. характеристики швеллера'!$K$6:$K$41,MATCH('без учета бимомента и без тяжей'!$J89,'Геом. характеристики швеллера'!$A$6:$A$41,0)))+SIN(P$64*PI()/180)/(INDEX('Геом. характеристики швеллера'!$O$6:$O$41,MATCH('без учета бимомента и без тяжей'!$J89,'Геом. характеристики швеллера'!$A$6:$A$41,0))))/10-INDEX('Геом. характеристики швеллера'!$I$6:$I$41,MATCH('без учета бимомента и без тяжей'!$J89,'Геом. характеристики швеллера'!$A$6:$A$41,0))</f>
        <v>121.27253448061192</v>
      </c>
      <c r="Q89" s="55">
        <f>(8*$E$17*$E$19/($E$12^2))/(COS(Q$64*PI()/180)/(INDEX('Геом. характеристики швеллера'!$K$6:$K$41,MATCH('без учета бимомента и без тяжей'!$J89,'Геом. характеристики швеллера'!$A$6:$A$41,0)))+SIN(Q$64*PI()/180)/(INDEX('Геом. характеристики швеллера'!$O$6:$O$41,MATCH('без учета бимомента и без тяжей'!$J89,'Геом. характеристики швеллера'!$A$6:$A$41,0))))/10-INDEX('Геом. характеристики швеллера'!$I$6:$I$41,MATCH('без учета бимомента и без тяжей'!$J89,'Геом. характеристики швеллера'!$A$6:$A$41,0))</f>
        <v>106.64444561158891</v>
      </c>
    </row>
    <row r="90" spans="1:17" x14ac:dyDescent="0.25">
      <c r="J90" s="40" t="s">
        <v>204</v>
      </c>
      <c r="K90" s="50">
        <f>(8*$E$17*$E$19/($E$12^2))/(COS(K$64*PI()/180)/(INDEX('Геом. характеристики швеллера'!$K$6:$K$41,MATCH('без учета бимомента и без тяжей'!$J90,'Геом. характеристики швеллера'!$A$6:$A$41,0)))+SIN(K$64*PI()/180)/(INDEX('Геом. характеристики швеллера'!$O$6:$O$41,MATCH('без учета бимомента и без тяжей'!$J90,'Геом. характеристики швеллера'!$A$6:$A$41,0))))/10-INDEX('Геом. характеристики швеллера'!$I$6:$I$41,MATCH('без учета бимомента и без тяжей'!$J90,'Геом. характеристики швеллера'!$A$6:$A$41,0))</f>
        <v>479.09999999999997</v>
      </c>
      <c r="L90" s="50">
        <f>(8*$E$17*$E$19/($E$12^2))/(COS(L$64*PI()/180)/(INDEX('Геом. характеристики швеллера'!$K$6:$K$41,MATCH('без учета бимомента и без тяжей'!$J90,'Геом. характеристики швеллера'!$A$6:$A$41,0)))+SIN(L$64*PI()/180)/(INDEX('Геом. характеристики швеллера'!$O$6:$O$41,MATCH('без учета бимомента и без тяжей'!$J90,'Геом. характеристики швеллера'!$A$6:$A$41,0))))/10-INDEX('Геом. характеристики швеллера'!$I$6:$I$41,MATCH('без учета бимомента и без тяжей'!$J90,'Геом. характеристики швеллера'!$A$6:$A$41,0))</f>
        <v>324.67910428935494</v>
      </c>
      <c r="M90" s="50">
        <f>(8*$E$17*$E$19/($E$12^2))/(COS(M$64*PI()/180)/(INDEX('Геом. характеристики швеллера'!$K$6:$K$41,MATCH('без учета бимомента и без тяжей'!$J90,'Геом. характеристики швеллера'!$A$6:$A$41,0)))+SIN(M$64*PI()/180)/(INDEX('Геом. характеристики швеллера'!$O$6:$O$41,MATCH('без учета бимомента и без тяжей'!$J90,'Геом. характеристики швеллера'!$A$6:$A$41,0))))/10-INDEX('Геом. характеристики швеллера'!$I$6:$I$41,MATCH('без учета бимомента и без тяжей'!$J90,'Геом. характеристики швеллера'!$A$6:$A$41,0))</f>
        <v>245.27441906064558</v>
      </c>
      <c r="N90" s="50">
        <f>(8*$E$17*$E$19/($E$12^2))/(COS(N$64*PI()/180)/(INDEX('Геом. характеристики швеллера'!$K$6:$K$41,MATCH('без учета бимомента и без тяжей'!$J90,'Геом. характеристики швеллера'!$A$6:$A$41,0)))+SIN(N$64*PI()/180)/(INDEX('Геом. характеристики швеллера'!$O$6:$O$41,MATCH('без учета бимомента и без тяжей'!$J90,'Геом. характеристики швеллера'!$A$6:$A$41,0))))/10-INDEX('Геом. характеристики швеллера'!$I$6:$I$41,MATCH('без учета бимомента и без тяжей'!$J90,'Геом. характеристики швеллера'!$A$6:$A$41,0))</f>
        <v>197.24950775789748</v>
      </c>
      <c r="O90" s="50">
        <f>(8*$E$17*$E$19/($E$12^2))/(COS(O$64*PI()/180)/(INDEX('Геом. характеристики швеллера'!$K$6:$K$41,MATCH('без учета бимомента и без тяжей'!$J90,'Геом. характеристики швеллера'!$A$6:$A$41,0)))+SIN(O$64*PI()/180)/(INDEX('Геом. характеристики швеллера'!$O$6:$O$41,MATCH('без учета бимомента и без тяжей'!$J90,'Геом. характеристики швеллера'!$A$6:$A$41,0))))/10-INDEX('Геом. характеристики швеллера'!$I$6:$I$41,MATCH('без учета бимомента и без тяжей'!$J90,'Геом. характеристики швеллера'!$A$6:$A$41,0))</f>
        <v>165.33287001609955</v>
      </c>
      <c r="P90" s="50">
        <f>(8*$E$17*$E$19/($E$12^2))/(COS(P$64*PI()/180)/(INDEX('Геом. характеристики швеллера'!$K$6:$K$41,MATCH('без учета бимомента и без тяжей'!$J90,'Геом. характеристики швеллера'!$A$6:$A$41,0)))+SIN(P$64*PI()/180)/(INDEX('Геом. характеристики швеллера'!$O$6:$O$41,MATCH('без учета бимомента и без тяжей'!$J90,'Геом. характеристики швеллера'!$A$6:$A$41,0))))/10-INDEX('Геом. характеристики швеллера'!$I$6:$I$41,MATCH('без учета бимомента и без тяжей'!$J90,'Геом. характеристики швеллера'!$A$6:$A$41,0))</f>
        <v>142.79620059990006</v>
      </c>
      <c r="Q90" s="55">
        <f>(8*$E$17*$E$19/($E$12^2))/(COS(Q$64*PI()/180)/(INDEX('Геом. характеристики швеллера'!$K$6:$K$41,MATCH('без учета бимомента и без тяжей'!$J90,'Геом. характеристики швеллера'!$A$6:$A$41,0)))+SIN(Q$64*PI()/180)/(INDEX('Геом. характеристики швеллера'!$O$6:$O$41,MATCH('без учета бимомента и без тяжей'!$J90,'Геом. характеристики швеллера'!$A$6:$A$41,0))))/10-INDEX('Геом. характеристики швеллера'!$I$6:$I$41,MATCH('без учета бимомента и без тяжей'!$J90,'Геом. характеристики швеллера'!$A$6:$A$41,0))</f>
        <v>126.21686981178907</v>
      </c>
    </row>
    <row r="91" spans="1:17" x14ac:dyDescent="0.25">
      <c r="B91"/>
      <c r="J91" s="40" t="s">
        <v>207</v>
      </c>
      <c r="K91" s="50">
        <f>(8*$E$17*$E$19/($E$12^2))/(COS(K$64*PI()/180)/(INDEX('Геом. характеристики швеллера'!$K$6:$K$41,MATCH('без учета бимомента и без тяжей'!$J91,'Геом. характеристики швеллера'!$A$6:$A$41,0)))+SIN(K$64*PI()/180)/(INDEX('Геом. характеристики швеллера'!$O$6:$O$41,MATCH('без учета бимомента и без тяжей'!$J91,'Геом. характеристики швеллера'!$A$6:$A$41,0))))/10-INDEX('Геом. характеристики швеллера'!$I$6:$I$41,MATCH('без учета бимомента и без тяжей'!$J91,'Геом. характеристики швеллера'!$A$6:$A$41,0))</f>
        <v>564.5</v>
      </c>
      <c r="L91" s="50">
        <f>(8*$E$17*$E$19/($E$12^2))/(COS(L$64*PI()/180)/(INDEX('Геом. характеристики швеллера'!$K$6:$K$41,MATCH('без учета бимомента и без тяжей'!$J91,'Геом. характеристики швеллера'!$A$6:$A$41,0)))+SIN(L$64*PI()/180)/(INDEX('Геом. характеристики швеллера'!$O$6:$O$41,MATCH('без учета бимомента и без тяжей'!$J91,'Геом. характеристики швеллера'!$A$6:$A$41,0))))/10-INDEX('Геом. характеристики швеллера'!$I$6:$I$41,MATCH('без учета бимомента и без тяжей'!$J91,'Геом. характеристики швеллера'!$A$6:$A$41,0))</f>
        <v>368.81296623624058</v>
      </c>
      <c r="M91" s="50">
        <f>(8*$E$17*$E$19/($E$12^2))/(COS(M$64*PI()/180)/(INDEX('Геом. характеристики швеллера'!$K$6:$K$41,MATCH('без учета бимомента и без тяжей'!$J91,'Геом. характеристики швеллера'!$A$6:$A$41,0)))+SIN(M$64*PI()/180)/(INDEX('Геом. характеристики швеллера'!$O$6:$O$41,MATCH('без учета бимомента и без тяжей'!$J91,'Геом. характеристики швеллера'!$A$6:$A$41,0))))/10-INDEX('Геом. характеристики швеллера'!$I$6:$I$41,MATCH('без учета бимомента и без тяжей'!$J91,'Геом. характеристики швеллера'!$A$6:$A$41,0))</f>
        <v>273.4075903524128</v>
      </c>
      <c r="N91" s="50">
        <f>(8*$E$17*$E$19/($E$12^2))/(COS(N$64*PI()/180)/(INDEX('Геом. характеристики швеллера'!$K$6:$K$41,MATCH('без учета бимомента и без тяжей'!$J91,'Геом. характеристики швеллера'!$A$6:$A$41,0)))+SIN(N$64*PI()/180)/(INDEX('Геом. характеристики швеллера'!$O$6:$O$41,MATCH('без учета бимомента и без тяжей'!$J91,'Геом. характеристики швеллера'!$A$6:$A$41,0))))/10-INDEX('Геом. характеристики швеллера'!$I$6:$I$41,MATCH('без учета бимомента и без тяжей'!$J91,'Геом. характеристики швеллера'!$A$6:$A$41,0))</f>
        <v>217.31200375664505</v>
      </c>
      <c r="O91" s="50">
        <f>(8*$E$17*$E$19/($E$12^2))/(COS(O$64*PI()/180)/(INDEX('Геом. характеристики швеллера'!$K$6:$K$41,MATCH('без учета бимомента и без тяжей'!$J91,'Геом. характеристики швеллера'!$A$6:$A$41,0)))+SIN(O$64*PI()/180)/(INDEX('Геом. характеристики швеллера'!$O$6:$O$41,MATCH('без учета бимомента и без тяжей'!$J91,'Геом. характеристики швеллера'!$A$6:$A$41,0))))/10-INDEX('Геом. характеристики швеллера'!$I$6:$I$41,MATCH('без учета бимомента и без тяжей'!$J91,'Геом. характеристики швеллера'!$A$6:$A$41,0))</f>
        <v>180.67176999186964</v>
      </c>
      <c r="P91" s="50">
        <f>(8*$E$17*$E$19/($E$12^2))/(COS(P$64*PI()/180)/(INDEX('Геом. характеристики швеллера'!$K$6:$K$41,MATCH('без учета бимомента и без тяжей'!$J91,'Геом. характеристики швеллера'!$A$6:$A$41,0)))+SIN(P$64*PI()/180)/(INDEX('Геом. характеристики швеллера'!$O$6:$O$41,MATCH('без учета бимомента и без тяжей'!$J91,'Геом. характеристики швеллера'!$A$6:$A$41,0))))/10-INDEX('Геом. характеристики швеллера'!$I$6:$I$41,MATCH('без учета бимомента и без тяжей'!$J91,'Геом. характеристики швеллера'!$A$6:$A$41,0))</f>
        <v>155.0943133819427</v>
      </c>
      <c r="Q91" s="55">
        <f>(8*$E$17*$E$19/($E$12^2))/(COS(Q$64*PI()/180)/(INDEX('Геом. характеристики швеллера'!$K$6:$K$41,MATCH('без учета бимомента и без тяжей'!$J91,'Геом. характеристики швеллера'!$A$6:$A$41,0)))+SIN(Q$64*PI()/180)/(INDEX('Геом. характеристики швеллера'!$O$6:$O$41,MATCH('без учета бимомента и без тяжей'!$J91,'Геом. характеристики швеллера'!$A$6:$A$41,0))))/10-INDEX('Геом. характеристики швеллера'!$I$6:$I$41,MATCH('без учета бимомента и без тяжей'!$J91,'Геом. характеристики швеллера'!$A$6:$A$41,0))</f>
        <v>136.42480426715323</v>
      </c>
    </row>
    <row r="92" spans="1:17" x14ac:dyDescent="0.25">
      <c r="J92" s="40" t="s">
        <v>209</v>
      </c>
      <c r="K92" s="50">
        <f>(8*$E$17*$E$19/($E$12^2))/(COS(K$64*PI()/180)/(INDEX('Геом. характеристики швеллера'!$K$6:$K$41,MATCH('без учета бимомента и без тяжей'!$J92,'Геом. характеристики швеллера'!$A$6:$A$41,0)))+SIN(K$64*PI()/180)/(INDEX('Геом. характеристики швеллера'!$O$6:$O$41,MATCH('без учета бимомента и без тяжей'!$J92,'Геом. характеристики швеллера'!$A$6:$A$41,0))))/10-INDEX('Геом. характеристики швеллера'!$I$6:$I$41,MATCH('без учета бимомента и без тяжей'!$J92,'Геом. характеристики швеллера'!$A$6:$A$41,0))</f>
        <v>621</v>
      </c>
      <c r="L92" s="50">
        <f>(8*$E$17*$E$19/($E$12^2))/(COS(L$64*PI()/180)/(INDEX('Геом. характеристики швеллера'!$K$6:$K$41,MATCH('без учета бимомента и без тяжей'!$J92,'Геом. характеристики швеллера'!$A$6:$A$41,0)))+SIN(L$64*PI()/180)/(INDEX('Геом. характеристики швеллера'!$O$6:$O$41,MATCH('без учета бимомента и без тяжей'!$J92,'Геом. характеристики швеллера'!$A$6:$A$41,0))))/10-INDEX('Геом. характеристики швеллера'!$I$6:$I$41,MATCH('без учета бимомента и без тяжей'!$J92,'Геом. характеристики швеллера'!$A$6:$A$41,0))</f>
        <v>415.93651371895459</v>
      </c>
      <c r="M92" s="50">
        <f>(8*$E$17*$E$19/($E$12^2))/(COS(M$64*PI()/180)/(INDEX('Геом. характеристики швеллера'!$K$6:$K$41,MATCH('без учета бимомента и без тяжей'!$J92,'Геом. характеристики швеллера'!$A$6:$A$41,0)))+SIN(M$64*PI()/180)/(INDEX('Геом. характеристики швеллера'!$O$6:$O$41,MATCH('без учета бимомента и без тяжей'!$J92,'Геом. характеристики швеллера'!$A$6:$A$41,0))))/10-INDEX('Геом. характеристики швеллера'!$I$6:$I$41,MATCH('без учета бимомента и без тяжей'!$J92,'Геом. характеристики швеллера'!$A$6:$A$41,0))</f>
        <v>312.48364128324101</v>
      </c>
      <c r="N92" s="50">
        <f>(8*$E$17*$E$19/($E$12^2))/(COS(N$64*PI()/180)/(INDEX('Геом. характеристики швеллера'!$K$6:$K$41,MATCH('без учета бимомента и без тяжей'!$J92,'Геом. характеристики швеллера'!$A$6:$A$41,0)))+SIN(N$64*PI()/180)/(INDEX('Геом. характеристики швеллера'!$O$6:$O$41,MATCH('без учета бимомента и без тяжей'!$J92,'Геом. характеристики швеллера'!$A$6:$A$41,0))))/10-INDEX('Геом. характеристики швеллера'!$I$6:$I$41,MATCH('без учета бимомента и без тяжей'!$J92,'Геом. характеристики швеллера'!$A$6:$A$41,0))</f>
        <v>250.55299424782041</v>
      </c>
      <c r="O92" s="50">
        <f>(8*$E$17*$E$19/($E$12^2))/(COS(O$64*PI()/180)/(INDEX('Геом. характеристики швеллера'!$K$6:$K$41,MATCH('без учета бимомента и без тяжей'!$J92,'Геом. характеристики швеллера'!$A$6:$A$41,0)))+SIN(O$64*PI()/180)/(INDEX('Геом. характеристики швеллера'!$O$6:$O$41,MATCH('без учета бимомента и без тяжей'!$J92,'Геом. характеристики швеллера'!$A$6:$A$41,0))))/10-INDEX('Геом. характеристики швеллера'!$I$6:$I$41,MATCH('без учета бимомента и без тяжей'!$J92,'Геом. характеристики швеллера'!$A$6:$A$41,0))</f>
        <v>209.6549064856797</v>
      </c>
      <c r="P92" s="50">
        <f>(8*$E$17*$E$19/($E$12^2))/(COS(P$64*PI()/180)/(INDEX('Геом. характеристики швеллера'!$K$6:$K$41,MATCH('без учета бимомента и без тяжей'!$J92,'Геом. характеристики швеллера'!$A$6:$A$41,0)))+SIN(P$64*PI()/180)/(INDEX('Геом. характеристики швеллера'!$O$6:$O$41,MATCH('без учета бимомента и без тяжей'!$J92,'Геом. характеристики швеллера'!$A$6:$A$41,0))))/10-INDEX('Геом. характеристики швеллера'!$I$6:$I$41,MATCH('без учета бимомента и без тяжей'!$J92,'Геом. характеристики швеллера'!$A$6:$A$41,0))</f>
        <v>180.89759631837109</v>
      </c>
      <c r="Q92" s="55">
        <f>(8*$E$17*$E$19/($E$12^2))/(COS(Q$64*PI()/180)/(INDEX('Геом. характеристики швеллера'!$K$6:$K$41,MATCH('без учета бимомента и без тяжей'!$J92,'Геом. характеристики швеллера'!$A$6:$A$41,0)))+SIN(Q$64*PI()/180)/(INDEX('Геом. характеристики швеллера'!$O$6:$O$41,MATCH('без учета бимомента и без тяжей'!$J92,'Геом. характеристики швеллера'!$A$6:$A$41,0))))/10-INDEX('Геом. характеристики швеллера'!$I$6:$I$41,MATCH('без учета бимомента и без тяжей'!$J92,'Геом. характеристики швеллера'!$A$6:$A$41,0))</f>
        <v>159.80284715265705</v>
      </c>
    </row>
    <row r="93" spans="1:17" x14ac:dyDescent="0.25">
      <c r="C93" s="2">
        <f>C65*E26*100/(E27*E18*E19*E24)</f>
        <v>0.12469268504874929</v>
      </c>
      <c r="E93" s="115" t="str">
        <f>IF(C93&lt;1,"Условия прочности обеспечены","Условия прочности не обеспечены")</f>
        <v>Условия прочности обеспечены</v>
      </c>
      <c r="F93" s="115"/>
      <c r="G93" s="115"/>
      <c r="J93" s="40" t="s">
        <v>18</v>
      </c>
      <c r="K93" s="50">
        <f>(8*$E$17*$E$19/($E$12^2))/(COS(K$64*PI()/180)/(INDEX('Геом. характеристики швеллера'!$K$6:$K$41,MATCH('без учета бимомента и без тяжей'!$J93,'Геом. характеристики швеллера'!$A$6:$A$41,0)))+SIN(K$64*PI()/180)/(INDEX('Геом. характеристики швеллера'!$O$6:$O$41,MATCH('без учета бимомента и без тяжей'!$J93,'Геом. характеристики швеллера'!$A$6:$A$41,0))))/10-INDEX('Геом. характеристики швеллера'!$I$6:$I$41,MATCH('без учета бимомента и без тяжей'!$J93,'Геом. характеристики швеллера'!$A$6:$A$41,0))</f>
        <v>716</v>
      </c>
      <c r="L93" s="50">
        <f>(8*$E$17*$E$19/($E$12^2))/(COS(L$64*PI()/180)/(INDEX('Геом. характеристики швеллера'!$K$6:$K$41,MATCH('без учета бимомента и без тяжей'!$J93,'Геом. характеристики швеллера'!$A$6:$A$41,0)))+SIN(L$64*PI()/180)/(INDEX('Геом. характеристики швеллера'!$O$6:$O$41,MATCH('без учета бимомента и без тяжей'!$J93,'Геом. характеристики швеллера'!$A$6:$A$41,0))))/10-INDEX('Геом. характеристики швеллера'!$I$6:$I$41,MATCH('без учета бимомента и без тяжей'!$J93,'Геом. характеристики швеллера'!$A$6:$A$41,0))</f>
        <v>463.06182989843529</v>
      </c>
      <c r="M93" s="50">
        <f>(8*$E$17*$E$19/($E$12^2))/(COS(M$64*PI()/180)/(INDEX('Геом. характеристики швеллера'!$K$6:$K$41,MATCH('без учета бимомента и без тяжей'!$J93,'Геом. характеристики швеллера'!$A$6:$A$41,0)))+SIN(M$64*PI()/180)/(INDEX('Геом. характеристики швеллера'!$O$6:$O$41,MATCH('без учета бимомента и без тяжей'!$J93,'Геом. характеристики швеллера'!$A$6:$A$41,0))))/10-INDEX('Геом. характеристики швеллера'!$I$6:$I$41,MATCH('без учета бимомента и без тяжей'!$J93,'Геом. характеристики швеллера'!$A$6:$A$41,0))</f>
        <v>341.75884765798583</v>
      </c>
      <c r="N93" s="50">
        <f>(8*$E$17*$E$19/($E$12^2))/(COS(N$64*PI()/180)/(INDEX('Геом. характеристики швеллера'!$K$6:$K$41,MATCH('без учета бимомента и без тяжей'!$J93,'Геом. характеристики швеллера'!$A$6:$A$41,0)))+SIN(N$64*PI()/180)/(INDEX('Геом. характеристики швеллера'!$O$6:$O$41,MATCH('без учета бимомента и без тяжей'!$J93,'Геом. характеристики швеллера'!$A$6:$A$41,0))))/10-INDEX('Геом. характеристики швеллера'!$I$6:$I$41,MATCH('без учета бимомента и без тяжей'!$J93,'Геом. характеристики швеллера'!$A$6:$A$41,0))</f>
        <v>271.03843278598748</v>
      </c>
      <c r="O93" s="50">
        <f>(8*$E$17*$E$19/($E$12^2))/(COS(O$64*PI()/180)/(INDEX('Геом. характеристики швеллера'!$K$6:$K$41,MATCH('без учета бимомента и без тяжей'!$J93,'Геом. характеристики швеллера'!$A$6:$A$41,0)))+SIN(O$64*PI()/180)/(INDEX('Геом. характеристики швеллера'!$O$6:$O$41,MATCH('без учета бимомента и без тяжей'!$J93,'Геом. характеристики швеллера'!$A$6:$A$41,0))))/10-INDEX('Геом. характеристики швеллера'!$I$6:$I$41,MATCH('без учета бимомента и без тяжей'!$J93,'Геом. характеристики швеллера'!$A$6:$A$41,0))</f>
        <v>225.08166923420507</v>
      </c>
      <c r="P93" s="50">
        <f>(8*$E$17*$E$19/($E$12^2))/(COS(P$64*PI()/180)/(INDEX('Геом. характеристики швеллера'!$K$6:$K$41,MATCH('без учета бимомента и без тяжей'!$J93,'Геом. характеристики швеллера'!$A$6:$A$41,0)))+SIN(P$64*PI()/180)/(INDEX('Геом. характеристики швеллера'!$O$6:$O$41,MATCH('без учета бимомента и без тяжей'!$J93,'Геом. характеристики швеллера'!$A$6:$A$41,0))))/10-INDEX('Геом. характеристики швеллера'!$I$6:$I$41,MATCH('без учета бимомента и без тяжей'!$J93,'Геом. характеристики швеллера'!$A$6:$A$41,0))</f>
        <v>193.10828708092308</v>
      </c>
      <c r="Q93" s="55">
        <f>(8*$E$17*$E$19/($E$12^2))/(COS(Q$64*PI()/180)/(INDEX('Геом. характеристики швеллера'!$K$6:$K$41,MATCH('без учета бимомента и без тяжей'!$J93,'Геом. характеристики швеллера'!$A$6:$A$41,0)))+SIN(Q$64*PI()/180)/(INDEX('Геом. характеристики швеллера'!$O$6:$O$41,MATCH('без учета бимомента и без тяжей'!$J93,'Геом. характеристики швеллера'!$A$6:$A$41,0))))/10-INDEX('Геом. характеристики швеллера'!$I$6:$I$41,MATCH('без учета бимомента и без тяжей'!$J93,'Геом. характеристики швеллера'!$A$6:$A$41,0))</f>
        <v>169.8237305519354</v>
      </c>
    </row>
    <row r="94" spans="1:17" x14ac:dyDescent="0.25">
      <c r="J94" s="40" t="s">
        <v>215</v>
      </c>
      <c r="K94" s="50">
        <f>(8*$E$17*$E$19/($E$12^2))/(COS(K$64*PI()/180)/(INDEX('Геом. характеристики швеллера'!$K$6:$K$41,MATCH('без учета бимомента и без тяжей'!$J94,'Геом. характеристики швеллера'!$A$6:$A$41,0)))+SIN(K$64*PI()/180)/(INDEX('Геом. характеристики швеллера'!$O$6:$O$41,MATCH('без учета бимомента и без тяжей'!$J94,'Геом. характеристики швеллера'!$A$6:$A$41,0))))/10-INDEX('Геом. характеристики швеллера'!$I$6:$I$41,MATCH('без учета бимомента и без тяжей'!$J94,'Геом. характеристики швеллера'!$A$6:$A$41,0))</f>
        <v>905.4</v>
      </c>
      <c r="L94" s="50">
        <f>(8*$E$17*$E$19/($E$12^2))/(COS(L$64*PI()/180)/(INDEX('Геом. характеристики швеллера'!$K$6:$K$41,MATCH('без учета бимомента и без тяжей'!$J94,'Геом. характеристики швеллера'!$A$6:$A$41,0)))+SIN(L$64*PI()/180)/(INDEX('Геом. характеристики швеллера'!$O$6:$O$41,MATCH('без учета бимомента и без тяжей'!$J94,'Геом. характеристики швеллера'!$A$6:$A$41,0))))/10-INDEX('Геом. характеристики швеллера'!$I$6:$I$41,MATCH('без учета бимомента и без тяжей'!$J94,'Геом. характеристики швеллера'!$A$6:$A$41,0))</f>
        <v>581.02384368050946</v>
      </c>
      <c r="M94" s="50">
        <f>(8*$E$17*$E$19/($E$12^2))/(COS(M$64*PI()/180)/(INDEX('Геом. характеристики швеллера'!$K$6:$K$41,MATCH('без учета бимомента и без тяжей'!$J94,'Геом. характеристики швеллера'!$A$6:$A$41,0)))+SIN(M$64*PI()/180)/(INDEX('Геом. характеристики швеллера'!$O$6:$O$41,MATCH('без учета бимомента и без тяжей'!$J94,'Геом. характеристики швеллера'!$A$6:$A$41,0))))/10-INDEX('Геом. характеристики швеллера'!$I$6:$I$41,MATCH('без учета бимомента и без тяжей'!$J94,'Геом. характеристики швеллера'!$A$6:$A$41,0))</f>
        <v>427.4227446210607</v>
      </c>
      <c r="N94" s="50">
        <f>(8*$E$17*$E$19/($E$12^2))/(COS(N$64*PI()/180)/(INDEX('Геом. характеристики швеллера'!$K$6:$K$41,MATCH('без учета бимомента и без тяжей'!$J94,'Геом. характеристики швеллера'!$A$6:$A$41,0)))+SIN(N$64*PI()/180)/(INDEX('Геом. характеристики швеллера'!$O$6:$O$41,MATCH('без учета бимомента и без тяжей'!$J94,'Геом. характеристики швеллера'!$A$6:$A$41,0))))/10-INDEX('Геом. характеристики швеллера'!$I$6:$I$41,MATCH('без учета бимомента и без тяжей'!$J94,'Геом. характеристики швеллера'!$A$6:$A$41,0))</f>
        <v>338.44828779267715</v>
      </c>
      <c r="O94" s="50">
        <f>(8*$E$17*$E$19/($E$12^2))/(COS(O$64*PI()/180)/(INDEX('Геом. характеристики швеллера'!$K$6:$K$41,MATCH('без учета бимомента и без тяжей'!$J94,'Геом. характеристики швеллера'!$A$6:$A$41,0)))+SIN(O$64*PI()/180)/(INDEX('Геом. характеристики швеллера'!$O$6:$O$41,MATCH('без учета бимомента и без тяжей'!$J94,'Геом. характеристики швеллера'!$A$6:$A$41,0))))/10-INDEX('Геом. характеристики швеллера'!$I$6:$I$41,MATCH('без учета бимомента и без тяжей'!$J94,'Геом. характеристики швеллера'!$A$6:$A$41,0))</f>
        <v>280.85297102261939</v>
      </c>
      <c r="P94" s="50">
        <f>(8*$E$17*$E$19/($E$12^2))/(COS(P$64*PI()/180)/(INDEX('Геом. характеристики швеллера'!$K$6:$K$41,MATCH('без учета бимомента и без тяжей'!$J94,'Геом. характеристики швеллера'!$A$6:$A$41,0)))+SIN(P$64*PI()/180)/(INDEX('Геом. характеристики швеллера'!$O$6:$O$41,MATCH('без учета бимомента и без тяжей'!$J94,'Геом. характеристики швеллера'!$A$6:$A$41,0))))/10-INDEX('Геом. характеристики швеллера'!$I$6:$I$41,MATCH('без учета бимомента и без тяжей'!$J94,'Геом. характеристики швеллера'!$A$6:$A$41,0))</f>
        <v>240.88376099909817</v>
      </c>
      <c r="Q94" s="55">
        <f>(8*$E$17*$E$19/($E$12^2))/(COS(Q$64*PI()/180)/(INDEX('Геом. характеристики швеллера'!$K$6:$K$41,MATCH('без учета бимомента и без тяжей'!$J94,'Геом. характеристики швеллера'!$A$6:$A$41,0)))+SIN(Q$64*PI()/180)/(INDEX('Геом. характеристики швеллера'!$O$6:$O$41,MATCH('без учета бимомента и без тяжей'!$J94,'Геом. характеристики швеллера'!$A$6:$A$41,0))))/10-INDEX('Геом. характеристики швеллера'!$I$6:$I$41,MATCH('без учета бимомента и без тяжей'!$J94,'Геом. характеристики швеллера'!$A$6:$A$41,0))</f>
        <v>211.82649332045236</v>
      </c>
    </row>
    <row r="95" spans="1:17" x14ac:dyDescent="0.25">
      <c r="A95" s="2" t="s">
        <v>273</v>
      </c>
      <c r="J95" s="40" t="s">
        <v>218</v>
      </c>
      <c r="K95" s="50">
        <f>(8*$E$17*$E$19/($E$12^2))/(COS(K$64*PI()/180)/(INDEX('Геом. характеристики швеллера'!$K$6:$K$41,MATCH('без учета бимомента и без тяжей'!$J95,'Геом. характеристики швеллера'!$A$6:$A$41,0)))+SIN(K$64*PI()/180)/(INDEX('Геом. характеристики швеллера'!$O$6:$O$41,MATCH('без учета бимомента и без тяжей'!$J95,'Геом. характеристики швеллера'!$A$6:$A$41,0))))/10-INDEX('Геом. характеристики швеллера'!$I$6:$I$41,MATCH('без учета бимомента и без тяжей'!$J95,'Геом. характеристики швеллера'!$A$6:$A$41,0))</f>
        <v>1142.3999999999999</v>
      </c>
      <c r="L95" s="50">
        <f>(8*$E$17*$E$19/($E$12^2))/(COS(L$64*PI()/180)/(INDEX('Геом. характеристики швеллера'!$K$6:$K$41,MATCH('без учета бимомента и без тяжей'!$J95,'Геом. характеристики швеллера'!$A$6:$A$41,0)))+SIN(L$64*PI()/180)/(INDEX('Геом. характеристики швеллера'!$O$6:$O$41,MATCH('без учета бимомента и без тяжей'!$J95,'Геом. характеристики швеллера'!$A$6:$A$41,0))))/10-INDEX('Геом. характеристики швеллера'!$I$6:$I$41,MATCH('без учета бимомента и без тяжей'!$J95,'Геом. характеристики швеллера'!$A$6:$A$41,0))</f>
        <v>737.17486060748411</v>
      </c>
      <c r="M95" s="50">
        <f>(8*$E$17*$E$19/($E$12^2))/(COS(M$64*PI()/180)/(INDEX('Геом. характеристики швеллера'!$K$6:$K$41,MATCH('без учета бимомента и без тяжей'!$J95,'Геом. характеристики швеллера'!$A$6:$A$41,0)))+SIN(M$64*PI()/180)/(INDEX('Геом. характеристики швеллера'!$O$6:$O$41,MATCH('без учета бимомента и без тяжей'!$J95,'Геом. характеристики швеллера'!$A$6:$A$41,0))))/10-INDEX('Геом. характеристики швеллера'!$I$6:$I$41,MATCH('без учета бимомента и без тяжей'!$J95,'Геом. характеристики швеллера'!$A$6:$A$41,0))</f>
        <v>544.12376847131441</v>
      </c>
      <c r="N95" s="50">
        <f>(8*$E$17*$E$19/($E$12^2))/(COS(N$64*PI()/180)/(INDEX('Геом. характеристики швеллера'!$K$6:$K$41,MATCH('без учета бимомента и без тяжей'!$J95,'Геом. характеристики швеллера'!$A$6:$A$41,0)))+SIN(N$64*PI()/180)/(INDEX('Геом. характеристики швеллера'!$O$6:$O$41,MATCH('без учета бимомента и без тяжей'!$J95,'Геом. характеристики швеллера'!$A$6:$A$41,0))))/10-INDEX('Геом. характеристики швеллера'!$I$6:$I$41,MATCH('без учета бимомента и без тяжей'!$J95,'Геом. характеристики швеллера'!$A$6:$A$41,0))</f>
        <v>431.95371729691567</v>
      </c>
      <c r="O95" s="50">
        <f>(8*$E$17*$E$19/($E$12^2))/(COS(O$64*PI()/180)/(INDEX('Геом. характеристики швеллера'!$K$6:$K$41,MATCH('без учета бимомента и без тяжей'!$J95,'Геом. характеристики швеллера'!$A$6:$A$41,0)))+SIN(O$64*PI()/180)/(INDEX('Геом. характеристики швеллера'!$O$6:$O$41,MATCH('без учета бимомента и без тяжей'!$J95,'Геом. характеристики швеллера'!$A$6:$A$41,0))))/10-INDEX('Геом. характеристики швеллера'!$I$6:$I$41,MATCH('без учета бимомента и без тяжей'!$J95,'Геом. характеристики швеллера'!$A$6:$A$41,0))</f>
        <v>359.20949620254794</v>
      </c>
      <c r="P95" s="50">
        <f>(8*$E$17*$E$19/($E$12^2))/(COS(P$64*PI()/180)/(INDEX('Геом. характеристики швеллера'!$K$6:$K$41,MATCH('без учета бимомента и без тяжей'!$J95,'Геом. характеристики швеллера'!$A$6:$A$41,0)))+SIN(P$64*PI()/180)/(INDEX('Геом. характеристики швеллера'!$O$6:$O$41,MATCH('без учета бимомента и без тяжей'!$J95,'Геом. характеристики швеллера'!$A$6:$A$41,0))))/10-INDEX('Геом. характеристики швеллера'!$I$6:$I$41,MATCH('без учета бимомента и без тяжей'!$J95,'Геом. характеристики швеллера'!$A$6:$A$41,0))</f>
        <v>308.66665607532593</v>
      </c>
      <c r="Q95" s="55">
        <f>(8*$E$17*$E$19/($E$12^2))/(COS(Q$64*PI()/180)/(INDEX('Геом. характеристики швеллера'!$K$6:$K$41,MATCH('без учета бимомента и без тяжей'!$J95,'Геом. характеристики швеллера'!$A$6:$A$41,0)))+SIN(Q$64*PI()/180)/(INDEX('Геом. характеристики швеллера'!$O$6:$O$41,MATCH('без учета бимомента и без тяжей'!$J95,'Геом. характеристики швеллера'!$A$6:$A$41,0))))/10-INDEX('Геом. характеристики швеллера'!$I$6:$I$41,MATCH('без учета бимомента и без тяжей'!$J95,'Геом. характеристики швеллера'!$A$6:$A$41,0))</f>
        <v>271.89230469419579</v>
      </c>
    </row>
    <row r="96" spans="1:17" x14ac:dyDescent="0.25">
      <c r="J96" s="40" t="s">
        <v>221</v>
      </c>
      <c r="K96" s="50">
        <f>(8*$E$17*$E$19/($E$12^2))/(COS(K$64*PI()/180)/(INDEX('Геом. характеристики швеллера'!$K$6:$K$41,MATCH('без учета бимомента и без тяжей'!$J96,'Геом. характеристики швеллера'!$A$6:$A$41,0)))+SIN(K$64*PI()/180)/(INDEX('Геом. характеристики швеллера'!$O$6:$O$41,MATCH('без учета бимомента и без тяжей'!$J96,'Геом. характеристики швеллера'!$A$6:$A$41,0))))/10-INDEX('Геом. характеристики швеллера'!$I$6:$I$41,MATCH('без учета бимомента и без тяжей'!$J96,'Геом. характеристики швеллера'!$A$6:$A$41,0))</f>
        <v>1460.3</v>
      </c>
      <c r="L96" s="50">
        <f>(8*$E$17*$E$19/($E$12^2))/(COS(L$64*PI()/180)/(INDEX('Геом. характеристики швеллера'!$K$6:$K$41,MATCH('без учета бимомента и без тяжей'!$J96,'Геом. характеристики швеллера'!$A$6:$A$41,0)))+SIN(L$64*PI()/180)/(INDEX('Геом. характеристики швеллера'!$O$6:$O$41,MATCH('без учета бимомента и без тяжей'!$J96,'Геом. характеристики швеллера'!$A$6:$A$41,0))))/10-INDEX('Геом. характеристики швеллера'!$I$6:$I$41,MATCH('без учета бимомента и без тяжей'!$J96,'Геом. характеристики швеллера'!$A$6:$A$41,0))</f>
        <v>917.21513314980814</v>
      </c>
      <c r="M96" s="50">
        <f>(8*$E$17*$E$19/($E$12^2))/(COS(M$64*PI()/180)/(INDEX('Геом. характеристики швеллера'!$K$6:$K$41,MATCH('без учета бимомента и без тяжей'!$J96,'Геом. характеристики швеллера'!$A$6:$A$41,0)))+SIN(M$64*PI()/180)/(INDEX('Геом. характеристики швеллера'!$O$6:$O$41,MATCH('без учета бимомента и без тяжей'!$J96,'Геом. характеристики швеллера'!$A$6:$A$41,0))))/10-INDEX('Геом. характеристики швеллера'!$I$6:$I$41,MATCH('без учета бимомента и без тяжей'!$J96,'Геом. характеристики швеллера'!$A$6:$A$41,0))</f>
        <v>668.43890629603743</v>
      </c>
      <c r="N96" s="50">
        <f>(8*$E$17*$E$19/($E$12^2))/(COS(N$64*PI()/180)/(INDEX('Геом. характеристики швеллера'!$K$6:$K$41,MATCH('без учета бимомента и без тяжей'!$J96,'Геом. характеристики швеллера'!$A$6:$A$41,0)))+SIN(N$64*PI()/180)/(INDEX('Геом. характеристики швеллера'!$O$6:$O$41,MATCH('без учета бимомента и без тяжей'!$J96,'Геом. характеристики швеллера'!$A$6:$A$41,0))))/10-INDEX('Геом. характеристики швеллера'!$I$6:$I$41,MATCH('без учета бимомента и без тяжей'!$J96,'Геом. характеристики швеллера'!$A$6:$A$41,0))</f>
        <v>526.69713062912967</v>
      </c>
      <c r="O96" s="50">
        <f>(8*$E$17*$E$19/($E$12^2))/(COS(O$64*PI()/180)/(INDEX('Геом. характеристики швеллера'!$K$6:$K$41,MATCH('без учета бимомента и без тяжей'!$J96,'Геом. характеристики швеллера'!$A$6:$A$41,0)))+SIN(O$64*PI()/180)/(INDEX('Геом. характеристики швеллера'!$O$6:$O$41,MATCH('без учета бимомента и без тяжей'!$J96,'Геом. характеристики швеллера'!$A$6:$A$41,0))))/10-INDEX('Геом. характеристики швеллера'!$I$6:$I$41,MATCH('без учета бимомента и без тяжей'!$J96,'Геом. характеристики швеллера'!$A$6:$A$41,0))</f>
        <v>435.84246596184232</v>
      </c>
      <c r="P96" s="50">
        <f>(8*$E$17*$E$19/($E$12^2))/(COS(P$64*PI()/180)/(INDEX('Геом. характеристики швеллера'!$K$6:$K$41,MATCH('без учета бимомента и без тяжей'!$J96,'Геом. характеристики швеллера'!$A$6:$A$41,0)))+SIN(P$64*PI()/180)/(INDEX('Геом. характеристики швеллера'!$O$6:$O$41,MATCH('без учета бимомента и без тяжей'!$J96,'Геом. характеристики швеллера'!$A$6:$A$41,0))))/10-INDEX('Геом. характеристики швеллера'!$I$6:$I$41,MATCH('без учета бимомента и без тяжей'!$J96,'Геом. характеристики швеллера'!$A$6:$A$41,0))</f>
        <v>373.19482780385061</v>
      </c>
      <c r="Q96" s="55">
        <f>(8*$E$17*$E$19/($E$12^2))/(COS(Q$64*PI()/180)/(INDEX('Геом. характеристики швеллера'!$K$6:$K$41,MATCH('без учета бимомента и без тяжей'!$J96,'Геом. характеристики швеллера'!$A$6:$A$41,0)))+SIN(Q$64*PI()/180)/(INDEX('Геом. характеристики швеллера'!$O$6:$O$41,MATCH('без учета бимомента и без тяжей'!$J96,'Геом. характеристики швеллера'!$A$6:$A$41,0))))/10-INDEX('Геом. характеристики швеллера'!$I$6:$I$41,MATCH('без учета бимомента и без тяжей'!$J96,'Геом. характеристики швеллера'!$A$6:$A$41,0))</f>
        <v>327.84848539701437</v>
      </c>
    </row>
    <row r="97" spans="1:17" x14ac:dyDescent="0.25">
      <c r="A97" s="2" t="s">
        <v>274</v>
      </c>
      <c r="J97" s="40" t="s">
        <v>222</v>
      </c>
      <c r="K97" s="50">
        <f>(8*$E$17*$E$19/($E$12^2))/(COS(K$64*PI()/180)/(INDEX('Геом. характеристики швеллера'!$K$6:$K$41,MATCH('без учета бимомента и без тяжей'!$J97,'Геом. характеристики швеллера'!$A$6:$A$41,0)))+SIN(K$64*PI()/180)/(INDEX('Геом. характеристики швеллера'!$O$6:$O$41,MATCH('без учета бимомента и без тяжей'!$J97,'Геом. характеристики швеллера'!$A$6:$A$41,0))))/10-INDEX('Геом. характеристики швеллера'!$I$6:$I$41,MATCH('без учета бимомента и без тяжей'!$J97,'Геом. характеристики швеллера'!$A$6:$A$41,0))</f>
        <v>1835.4</v>
      </c>
      <c r="L97" s="50">
        <f>(8*$E$17*$E$19/($E$12^2))/(COS(L$64*PI()/180)/(INDEX('Геом. характеристики швеллера'!$K$6:$K$41,MATCH('без учета бимомента и без тяжей'!$J97,'Геом. характеристики швеллера'!$A$6:$A$41,0)))+SIN(L$64*PI()/180)/(INDEX('Геом. характеристики швеллера'!$O$6:$O$41,MATCH('без учета бимомента и без тяжей'!$J97,'Геом. характеристики швеллера'!$A$6:$A$41,0))))/10-INDEX('Геом. характеристики швеллера'!$I$6:$I$41,MATCH('без учета бимомента и без тяжей'!$J97,'Геом. характеристики швеллера'!$A$6:$A$41,0))</f>
        <v>1124.4517461364871</v>
      </c>
      <c r="M97" s="50">
        <f>(8*$E$17*$E$19/($E$12^2))/(COS(M$64*PI()/180)/(INDEX('Геом. характеристики швеллера'!$K$6:$K$41,MATCH('без учета бимомента и без тяжей'!$J97,'Геом. характеристики швеллера'!$A$6:$A$41,0)))+SIN(M$64*PI()/180)/(INDEX('Геом. характеристики швеллера'!$O$6:$O$41,MATCH('без учета бимомента и без тяжей'!$J97,'Геом. характеристики швеллера'!$A$6:$A$41,0))))/10-INDEX('Геом. характеристики швеллера'!$I$6:$I$41,MATCH('без учета бимомента и без тяжей'!$J97,'Геом. характеристики швеллера'!$A$6:$A$41,0))</f>
        <v>810.24590127329509</v>
      </c>
      <c r="N97" s="50">
        <f>(8*$E$17*$E$19/($E$12^2))/(COS(N$64*PI()/180)/(INDEX('Геом. характеристики швеллера'!$K$6:$K$41,MATCH('без учета бимомента и без тяжей'!$J97,'Геом. характеристики швеллера'!$A$6:$A$41,0)))+SIN(N$64*PI()/180)/(INDEX('Геом. характеристики швеллера'!$O$6:$O$41,MATCH('без учета бимомента и без тяжей'!$J97,'Геом. характеристики швеллера'!$A$6:$A$41,0))))/10-INDEX('Геом. характеристики швеллера'!$I$6:$I$41,MATCH('без учета бимомента и без тяжей'!$J97,'Геом. характеристики швеллера'!$A$6:$A$41,0))</f>
        <v>634.30463291666206</v>
      </c>
      <c r="O97" s="50">
        <f>(8*$E$17*$E$19/($E$12^2))/(COS(O$64*PI()/180)/(INDEX('Геом. характеристики швеллера'!$K$6:$K$41,MATCH('без учета бимомента и без тяжей'!$J97,'Геом. характеристики швеллера'!$A$6:$A$41,0)))+SIN(O$64*PI()/180)/(INDEX('Геом. характеристики швеллера'!$O$6:$O$41,MATCH('без учета бимомента и без тяжей'!$J97,'Геом. характеристики швеллера'!$A$6:$A$41,0))))/10-INDEX('Геом. характеристики швеллера'!$I$6:$I$41,MATCH('без учета бимомента и без тяжей'!$J97,'Геом. характеристики швеллера'!$A$6:$A$41,0))</f>
        <v>522.67063136947968</v>
      </c>
      <c r="P97" s="50">
        <f>(8*$E$17*$E$19/($E$12^2))/(COS(P$64*PI()/180)/(INDEX('Геом. характеристики швеллера'!$K$6:$K$41,MATCH('без учета бимомента и без тяжей'!$J97,'Геом. характеристики швеллера'!$A$6:$A$41,0)))+SIN(P$64*PI()/180)/(INDEX('Геом. характеристики швеллера'!$O$6:$O$41,MATCH('без учета бимомента и без тяжей'!$J97,'Геом. характеристики швеллера'!$A$6:$A$41,0))))/10-INDEX('Геом. характеристики швеллера'!$I$6:$I$41,MATCH('без учета бимомента и без тяжей'!$J97,'Геом. характеристики швеллера'!$A$6:$A$41,0))</f>
        <v>446.19946968546083</v>
      </c>
      <c r="Q97" s="55">
        <f>(8*$E$17*$E$19/($E$12^2))/(COS(Q$64*PI()/180)/(INDEX('Геом. характеристики швеллера'!$K$6:$K$41,MATCH('без учета бимомента и без тяжей'!$J97,'Геом. характеристики швеллера'!$A$6:$A$41,0)))+SIN(Q$64*PI()/180)/(INDEX('Геом. характеристики швеллера'!$O$6:$O$41,MATCH('без учета бимомента и без тяжей'!$J97,'Геом. характеристики швеллера'!$A$6:$A$41,0))))/10-INDEX('Геом. характеристики швеллера'!$I$6:$I$41,MATCH('без учета бимомента и без тяжей'!$J97,'Геом. характеристики швеллера'!$A$6:$A$41,0))</f>
        <v>391.09355487549993</v>
      </c>
    </row>
    <row r="98" spans="1:17" x14ac:dyDescent="0.25">
      <c r="J98" s="40" t="s">
        <v>224</v>
      </c>
      <c r="K98" s="50">
        <f>(8*$E$17*$E$19/($E$12^2))/(COS(K$64*PI()/180)/(INDEX('Геом. характеристики швеллера'!$K$6:$K$41,MATCH('без учета бимомента и без тяжей'!$J98,'Геом. характеристики швеллера'!$A$6:$A$41,0)))+SIN(K$64*PI()/180)/(INDEX('Геом. характеристики швеллера'!$O$6:$O$41,MATCH('без учета бимомента и без тяжей'!$J98,'Геом. характеристики швеллера'!$A$6:$A$41,0))))/10-INDEX('Геом. характеристики швеллера'!$I$6:$I$41,MATCH('без учета бимомента и без тяжей'!$J98,'Геом. характеристики швеллера'!$A$6:$A$41,0))</f>
        <v>2296.2999999999997</v>
      </c>
      <c r="L98" s="50">
        <f>(8*$E$17*$E$19/($E$12^2))/(COS(L$64*PI()/180)/(INDEX('Геом. характеристики швеллера'!$K$6:$K$41,MATCH('без учета бимомента и без тяжей'!$J98,'Геом. характеристики швеллера'!$A$6:$A$41,0)))+SIN(L$64*PI()/180)/(INDEX('Геом. характеристики швеллера'!$O$6:$O$41,MATCH('без учета бимомента и без тяжей'!$J98,'Геом. характеристики швеллера'!$A$6:$A$41,0))))/10-INDEX('Геом. характеристики швеллера'!$I$6:$I$41,MATCH('без учета бимомента и без тяжей'!$J98,'Геом. характеристики швеллера'!$A$6:$A$41,0))</f>
        <v>1375.7035548409174</v>
      </c>
      <c r="M98" s="50">
        <f>(8*$E$17*$E$19/($E$12^2))/(COS(M$64*PI()/180)/(INDEX('Геом. характеристики швеллера'!$K$6:$K$41,MATCH('без учета бимомента и без тяжей'!$J98,'Геом. характеристики швеллера'!$A$6:$A$41,0)))+SIN(M$64*PI()/180)/(INDEX('Геом. характеристики швеллера'!$O$6:$O$41,MATCH('без учета бимомента и без тяжей'!$J98,'Геом. характеристики швеллера'!$A$6:$A$41,0))))/10-INDEX('Геом. характеристики швеллера'!$I$6:$I$41,MATCH('без учета бимомента и без тяжей'!$J98,'Геом. характеристики швеллера'!$A$6:$A$41,0))</f>
        <v>981.65590735185708</v>
      </c>
      <c r="N98" s="50">
        <f>(8*$E$17*$E$19/($E$12^2))/(COS(N$64*PI()/180)/(INDEX('Геом. характеристики швеллера'!$K$6:$K$41,MATCH('без учета бимомента и без тяжей'!$J98,'Геом. характеристики швеллера'!$A$6:$A$41,0)))+SIN(N$64*PI()/180)/(INDEX('Геом. характеристики швеллера'!$O$6:$O$41,MATCH('без учета бимомента и без тяжей'!$J98,'Геом. характеристики швеллера'!$A$6:$A$41,0))))/10-INDEX('Геом. характеристики швеллера'!$I$6:$I$41,MATCH('без учета бимомента и без тяжей'!$J98,'Геом. характеристики швеллера'!$A$6:$A$41,0))</f>
        <v>764.30234168717038</v>
      </c>
      <c r="O98" s="50">
        <f>(8*$E$17*$E$19/($E$12^2))/(COS(O$64*PI()/180)/(INDEX('Геом. характеристики швеллера'!$K$6:$K$41,MATCH('без учета бимомента и без тяжей'!$J98,'Геом. характеристики швеллера'!$A$6:$A$41,0)))+SIN(O$64*PI()/180)/(INDEX('Геом. характеристики швеллера'!$O$6:$O$41,MATCH('без учета бимомента и без тяжей'!$J98,'Геом. характеристики швеллера'!$A$6:$A$41,0))))/10-INDEX('Геом. характеристики швеллера'!$I$6:$I$41,MATCH('без учета бимомента и без тяжей'!$J98,'Геом. характеристики швеллера'!$A$6:$A$41,0))</f>
        <v>627.58840115773785</v>
      </c>
      <c r="P98" s="50">
        <f>(8*$E$17*$E$19/($E$12^2))/(COS(P$64*PI()/180)/(INDEX('Геом. характеристики швеллера'!$K$6:$K$41,MATCH('без учета бимомента и без тяжей'!$J98,'Геом. характеристики швеллера'!$A$6:$A$41,0)))+SIN(P$64*PI()/180)/(INDEX('Геом. характеристики швеллера'!$O$6:$O$41,MATCH('без учета бимомента и без тяжей'!$J98,'Геом. характеристики швеллера'!$A$6:$A$41,0))))/10-INDEX('Геом. характеристики швеллера'!$I$6:$I$41,MATCH('без учета бимомента и без тяжей'!$J98,'Геом. характеристики швеллера'!$A$6:$A$41,0))</f>
        <v>534.45894460242948</v>
      </c>
      <c r="Q98" s="55">
        <f>(8*$E$17*$E$19/($E$12^2))/(COS(Q$64*PI()/180)/(INDEX('Геом. характеристики швеллера'!$K$6:$K$41,MATCH('без учета бимомента и без тяжей'!$J98,'Геом. характеристики швеллера'!$A$6:$A$41,0)))+SIN(Q$64*PI()/180)/(INDEX('Геом. характеристики швеллера'!$O$6:$O$41,MATCH('без учета бимомента и без тяжей'!$J98,'Геом. характеристики швеллера'!$A$6:$A$41,0))))/10-INDEX('Геом. характеристики швеллера'!$I$6:$I$41,MATCH('без учета бимомента и без тяжей'!$J98,'Геом. характеристики швеллера'!$A$6:$A$41,0))</f>
        <v>467.60195343238831</v>
      </c>
    </row>
    <row r="99" spans="1:17" x14ac:dyDescent="0.25">
      <c r="J99" s="40" t="s">
        <v>226</v>
      </c>
      <c r="K99" s="50">
        <f>(8*$E$17*$E$19/($E$12^2))/(COS(K$64*PI()/180)/(INDEX('Геом. характеристики швеллера'!$K$6:$K$41,MATCH('без учета бимомента и без тяжей'!$J99,'Геом. характеристики швеллера'!$A$6:$A$41,0)))+SIN(K$64*PI()/180)/(INDEX('Геом. характеристики швеллера'!$O$6:$O$41,MATCH('без учета бимомента и без тяжей'!$J99,'Геом. характеристики швеллера'!$A$6:$A$41,0))))/10-INDEX('Геом. характеристики швеллера'!$I$6:$I$41,MATCH('без учета бимомента и без тяжей'!$J99,'Геом. характеристики швеллера'!$A$6:$A$41,0))</f>
        <v>2852.5</v>
      </c>
      <c r="L99" s="50">
        <f>(8*$E$17*$E$19/($E$12^2))/(COS(L$64*PI()/180)/(INDEX('Геом. характеристики швеллера'!$K$6:$K$41,MATCH('без учета бимомента и без тяжей'!$J99,'Геом. характеристики швеллера'!$A$6:$A$41,0)))+SIN(L$64*PI()/180)/(INDEX('Геом. характеристики швеллера'!$O$6:$O$41,MATCH('без учета бимомента и без тяжей'!$J99,'Геом. характеристики швеллера'!$A$6:$A$41,0))))/10-INDEX('Геом. характеристики швеллера'!$I$6:$I$41,MATCH('без учета бимомента и без тяжей'!$J99,'Геом. характеристики швеллера'!$A$6:$A$41,0))</f>
        <v>1675.8572549680705</v>
      </c>
      <c r="M99" s="50">
        <f>(8*$E$17*$E$19/($E$12^2))/(COS(M$64*PI()/180)/(INDEX('Геом. характеристики швеллера'!$K$6:$K$41,MATCH('без учета бимомента и без тяжей'!$J99,'Геом. характеристики швеллера'!$A$6:$A$41,0)))+SIN(M$64*PI()/180)/(INDEX('Геом. характеристики швеллера'!$O$6:$O$41,MATCH('без учета бимомента и без тяжей'!$J99,'Геом. характеристики швеллера'!$A$6:$A$41,0))))/10-INDEX('Геом. характеристики швеллера'!$I$6:$I$41,MATCH('без учета бимомента и без тяжей'!$J99,'Геом. характеристики швеллера'!$A$6:$A$41,0))</f>
        <v>1186.0226116874048</v>
      </c>
      <c r="N99" s="50">
        <f>(8*$E$17*$E$19/($E$12^2))/(COS(N$64*PI()/180)/(INDEX('Геом. характеристики швеллера'!$K$6:$K$41,MATCH('без учета бимомента и без тяжей'!$J99,'Геом. характеристики швеллера'!$A$6:$A$41,0)))+SIN(N$64*PI()/180)/(INDEX('Геом. характеристики швеллера'!$O$6:$O$41,MATCH('без учета бимомента и без тяжей'!$J99,'Геом. характеристики швеллера'!$A$6:$A$41,0))))/10-INDEX('Геом. характеристики швеллера'!$I$6:$I$41,MATCH('без учета бимомента и без тяжей'!$J99,'Геом. характеристики швеллера'!$A$6:$A$41,0))</f>
        <v>919.25514875200042</v>
      </c>
      <c r="O99" s="50">
        <f>(8*$E$17*$E$19/($E$12^2))/(COS(O$64*PI()/180)/(INDEX('Геом. характеристики швеллера'!$K$6:$K$41,MATCH('без учета бимомента и без тяжей'!$J99,'Геом. характеристики швеллера'!$A$6:$A$41,0)))+SIN(O$64*PI()/180)/(INDEX('Геом. характеристики швеллера'!$O$6:$O$41,MATCH('без учета бимомента и без тяжей'!$J99,'Геом. характеристики швеллера'!$A$6:$A$41,0))))/10-INDEX('Геом. характеристики швеллера'!$I$6:$I$41,MATCH('без учета бимомента и без тяжей'!$J99,'Геом. характеристики швеллера'!$A$6:$A$41,0))</f>
        <v>752.67921624276846</v>
      </c>
      <c r="P99" s="50">
        <f>(8*$E$17*$E$19/($E$12^2))/(COS(P$64*PI()/180)/(INDEX('Геом. характеристики швеллера'!$K$6:$K$41,MATCH('без учета бимомента и без тяжей'!$J99,'Геом. характеристики швеллера'!$A$6:$A$41,0)))+SIN(P$64*PI()/180)/(INDEX('Геом. характеристики швеллера'!$O$6:$O$41,MATCH('без учета бимомента и без тяжей'!$J99,'Геом. характеристики швеллера'!$A$6:$A$41,0))))/10-INDEX('Геом. характеристики швеллера'!$I$6:$I$41,MATCH('без учета бимомента и без тяжей'!$J99,'Геом. характеристики швеллера'!$A$6:$A$41,0))</f>
        <v>639.73416950024875</v>
      </c>
      <c r="Q99" s="55">
        <f>(8*$E$17*$E$19/($E$12^2))/(COS(Q$64*PI()/180)/(INDEX('Геом. характеристики швеллера'!$K$6:$K$41,MATCH('без учета бимомента и без тяжей'!$J99,'Геом. характеристики швеллера'!$A$6:$A$41,0)))+SIN(Q$64*PI()/180)/(INDEX('Геом. характеристики швеллера'!$O$6:$O$41,MATCH('без учета бимомента и без тяжей'!$J99,'Геом. характеристики швеллера'!$A$6:$A$41,0))))/10-INDEX('Геом. характеристики швеллера'!$I$6:$I$41,MATCH('без учета бимомента и без тяжей'!$J99,'Геом. характеристики швеллера'!$A$6:$A$41,0))</f>
        <v>558.90548135507515</v>
      </c>
    </row>
    <row r="100" spans="1:17" ht="16.5" thickBot="1" x14ac:dyDescent="0.3">
      <c r="J100" s="41" t="s">
        <v>229</v>
      </c>
      <c r="K100" s="56">
        <f>(8*$E$17*$E$19/($E$12^2))/(COS(K$64*PI()/180)/(INDEX('Геом. характеристики швеллера'!$K$6:$K$41,MATCH('без учета бимомента и без тяжей'!$J100,'Геом. характеристики швеллера'!$A$6:$A$41,0)))+SIN(K$64*PI()/180)/(INDEX('Геом. характеристики швеллера'!$O$6:$O$41,MATCH('без учета бимомента и без тяжей'!$J100,'Геом. характеристики швеллера'!$A$6:$A$41,0))))/10-INDEX('Геом. характеристики швеллера'!$I$6:$I$41,MATCH('без учета бимомента и без тяжей'!$J100,'Геом. характеристики швеллера'!$A$6:$A$41,0))</f>
        <v>3614.1</v>
      </c>
      <c r="L100" s="56">
        <f>(8*$E$17*$E$19/($E$12^2))/(COS(L$64*PI()/180)/(INDEX('Геом. характеристики швеллера'!$K$6:$K$41,MATCH('без учета бимомента и без тяжей'!$J100,'Геом. характеристики швеллера'!$A$6:$A$41,0)))+SIN(L$64*PI()/180)/(INDEX('Геом. характеристики швеллера'!$O$6:$O$41,MATCH('без учета бимомента и без тяжей'!$J100,'Геом. характеристики швеллера'!$A$6:$A$41,0))))/10-INDEX('Геом. характеристики швеллера'!$I$6:$I$41,MATCH('без учета бимомента и без тяжей'!$J100,'Геом. характеристики швеллера'!$A$6:$A$41,0))</f>
        <v>2061.4945567514033</v>
      </c>
      <c r="M100" s="56">
        <f>(8*$E$17*$E$19/($E$12^2))/(COS(M$64*PI()/180)/(INDEX('Геом. характеристики швеллера'!$K$6:$K$41,MATCH('без учета бимомента и без тяжей'!$J100,'Геом. характеристики швеллера'!$A$6:$A$41,0)))+SIN(M$64*PI()/180)/(INDEX('Геом. характеристики швеллера'!$O$6:$O$41,MATCH('без учета бимомента и без тяжей'!$J100,'Геом. характеристики швеллера'!$A$6:$A$41,0))))/10-INDEX('Геом. характеристики швеллера'!$I$6:$I$41,MATCH('без учета бимомента и без тяжей'!$J100,'Геом. характеристики швеллера'!$A$6:$A$41,0))</f>
        <v>1441.3306931680111</v>
      </c>
      <c r="N100" s="56">
        <f>(8*$E$17*$E$19/($E$12^2))/(COS(N$64*PI()/180)/(INDEX('Геом. характеристики швеллера'!$K$6:$K$41,MATCH('без учета бимомента и без тяжей'!$J100,'Геом. характеристики швеллера'!$A$6:$A$41,0)))+SIN(N$64*PI()/180)/(INDEX('Геом. характеристики швеллера'!$O$6:$O$41,MATCH('без учета бимомента и без тяжей'!$J100,'Геом. характеристики швеллера'!$A$6:$A$41,0))))/10-INDEX('Геом. характеристики швеллера'!$I$6:$I$41,MATCH('без учета бимомента и без тяжей'!$J100,'Геом. характеристики швеллера'!$A$6:$A$41,0))</f>
        <v>1109.7429874956151</v>
      </c>
      <c r="O100" s="56">
        <f>(8*$E$17*$E$19/($E$12^2))/(COS(O$64*PI()/180)/(INDEX('Геом. характеристики швеллера'!$K$6:$K$41,MATCH('без учета бимомента и без тяжей'!$J100,'Геом. характеристики швеллера'!$A$6:$A$41,0)))+SIN(O$64*PI()/180)/(INDEX('Геом. характеристики швеллера'!$O$6:$O$41,MATCH('без учета бимомента и без тяжей'!$J100,'Геом. характеристики швеллера'!$A$6:$A$41,0))))/10-INDEX('Геом. характеристики швеллера'!$I$6:$I$41,MATCH('без учета бимомента и без тяжей'!$J100,'Геом. характеристики швеллера'!$A$6:$A$41,0))</f>
        <v>904.83227089854722</v>
      </c>
      <c r="P100" s="56">
        <f>(8*$E$17*$E$19/($E$12^2))/(COS(P$64*PI()/180)/(INDEX('Геом. характеристики швеллера'!$K$6:$K$41,MATCH('без учета бимомента и без тяжей'!$J100,'Геом. характеристики швеллера'!$A$6:$A$41,0)))+SIN(P$64*PI()/180)/(INDEX('Геом. характеристики швеллера'!$O$6:$O$41,MATCH('без учета бимомента и без тяжей'!$J100,'Геом. характеристики швеллера'!$A$6:$A$41,0))))/10-INDEX('Геом. характеристики швеллера'!$I$6:$I$41,MATCH('без учета бимомента и без тяжей'!$J100,'Геом. характеристики швеллера'!$A$6:$A$41,0))</f>
        <v>766.80619271466685</v>
      </c>
      <c r="Q100" s="57">
        <f>(8*$E$17*$E$19/($E$12^2))/(COS(Q$64*PI()/180)/(INDEX('Геом. характеристики швеллера'!$K$6:$K$41,MATCH('без учета бимомента и без тяжей'!$J100,'Геом. характеристики швеллера'!$A$6:$A$41,0)))+SIN(Q$64*PI()/180)/(INDEX('Геом. характеристики швеллера'!$O$6:$O$41,MATCH('без учета бимомента и без тяжей'!$J100,'Геом. характеристики швеллера'!$A$6:$A$41,0))))/10-INDEX('Геом. характеристики швеллера'!$I$6:$I$41,MATCH('без учета бимомента и без тяжей'!$J100,'Геом. характеристики швеллера'!$A$6:$A$41,0))</f>
        <v>668.4643105580783</v>
      </c>
    </row>
    <row r="101" spans="1:17" x14ac:dyDescent="0.25">
      <c r="A101" s="2" t="s">
        <v>275</v>
      </c>
    </row>
    <row r="103" spans="1:17" x14ac:dyDescent="0.25">
      <c r="C103" s="77" t="s">
        <v>276</v>
      </c>
      <c r="D103" s="2">
        <f>C65/(B105*E24/100)</f>
        <v>59.6713137220964</v>
      </c>
      <c r="E103" s="2" t="s">
        <v>277</v>
      </c>
    </row>
    <row r="105" spans="1:17" ht="18.75" x14ac:dyDescent="0.35">
      <c r="A105" s="2" t="s">
        <v>278</v>
      </c>
      <c r="B105" s="81">
        <v>5</v>
      </c>
      <c r="C105" s="2" t="s">
        <v>252</v>
      </c>
      <c r="D105" s="2" t="s">
        <v>279</v>
      </c>
    </row>
    <row r="107" spans="1:17" x14ac:dyDescent="0.25">
      <c r="C107" s="2">
        <f>D103/(E18*E19)</f>
        <v>0.47630358973576314</v>
      </c>
      <c r="E107" s="115" t="str">
        <f>IF(C107&lt;1,"Условия прочности обеспечены","Условия прочности не обеспечены")</f>
        <v>Условия прочности обеспечены</v>
      </c>
      <c r="F107" s="115"/>
      <c r="G107" s="115"/>
    </row>
    <row r="109" spans="1:17" x14ac:dyDescent="0.25">
      <c r="A109" s="2" t="s">
        <v>280</v>
      </c>
    </row>
    <row r="111" spans="1:17" x14ac:dyDescent="0.25">
      <c r="A111" s="2" t="s">
        <v>282</v>
      </c>
    </row>
    <row r="113" spans="1:7" x14ac:dyDescent="0.25">
      <c r="B113"/>
      <c r="C113" s="77" t="s">
        <v>283</v>
      </c>
      <c r="D113"/>
    </row>
    <row r="115" spans="1:7" ht="11.25" customHeight="1" x14ac:dyDescent="0.25"/>
    <row r="116" spans="1:7" ht="18.75" x14ac:dyDescent="0.35">
      <c r="A116" s="2" t="s">
        <v>284</v>
      </c>
    </row>
    <row r="117" spans="1:7" ht="6.75" customHeight="1" x14ac:dyDescent="0.25"/>
    <row r="118" spans="1:7" x14ac:dyDescent="0.25">
      <c r="A118"/>
      <c r="C118" s="2">
        <f>C65/(E18*E19*E24*(E22-2*E25))*1000</f>
        <v>0.11848348003377195</v>
      </c>
      <c r="E118" s="115" t="str">
        <f>IF(C118&lt;1,"Условия прочности обеспечены","Условия прочности не обеспечены")</f>
        <v>Условия прочности обеспечены</v>
      </c>
      <c r="F118" s="115"/>
      <c r="G118" s="115"/>
    </row>
    <row r="120" spans="1:7" x14ac:dyDescent="0.25">
      <c r="C120" s="2">
        <f>C69/(E18*E19*2*E23*E25)*1000</f>
        <v>8.6756172204351389E-3</v>
      </c>
      <c r="E120" s="115" t="str">
        <f>IF(C120&lt;1,"Условия прочности обеспечены","Условия прочности не обеспечены")</f>
        <v>Условия прочности обеспечены</v>
      </c>
      <c r="F120" s="115"/>
      <c r="G120" s="115"/>
    </row>
    <row r="121" spans="1:7" x14ac:dyDescent="0.25">
      <c r="A121"/>
    </row>
    <row r="122" spans="1:7" x14ac:dyDescent="0.25">
      <c r="A122" s="2" t="s">
        <v>286</v>
      </c>
    </row>
    <row r="124" spans="1:7" ht="33" customHeight="1" x14ac:dyDescent="0.25">
      <c r="A124" s="93" t="s">
        <v>287</v>
      </c>
      <c r="B124" s="93"/>
      <c r="C124" s="93"/>
      <c r="D124" s="93"/>
      <c r="E124" s="93"/>
      <c r="F124" s="93"/>
      <c r="G124" s="93"/>
    </row>
    <row r="126" spans="1:7" x14ac:dyDescent="0.25">
      <c r="A126" s="2" t="s">
        <v>288</v>
      </c>
    </row>
    <row r="128" spans="1:7" x14ac:dyDescent="0.25">
      <c r="A128" s="2" t="s">
        <v>289</v>
      </c>
    </row>
    <row r="130" spans="1:7" x14ac:dyDescent="0.25">
      <c r="A130" s="113" t="s">
        <v>293</v>
      </c>
      <c r="B130" s="113"/>
      <c r="C130" s="113"/>
      <c r="D130" s="113"/>
      <c r="E130" s="113"/>
      <c r="F130" s="113"/>
      <c r="G130" s="113"/>
    </row>
    <row r="132" spans="1:7" ht="16.5" thickBot="1" x14ac:dyDescent="0.3">
      <c r="A132" s="112" t="s">
        <v>292</v>
      </c>
      <c r="B132" s="82" t="s">
        <v>291</v>
      </c>
      <c r="C132" s="112" t="s">
        <v>276</v>
      </c>
      <c r="D132" s="112">
        <f>E12/B133</f>
        <v>0.03</v>
      </c>
      <c r="E132" s="114" t="s">
        <v>290</v>
      </c>
    </row>
    <row r="133" spans="1:7" x14ac:dyDescent="0.25">
      <c r="A133" s="112"/>
      <c r="B133" s="83">
        <f>IF(E12&lt;=1,120,IF(E12&lt;=3,150,IF(E12&lt;=6,200,IF(E12&lt;=24,250,300))))</f>
        <v>200</v>
      </c>
      <c r="C133" s="112"/>
      <c r="D133" s="112"/>
      <c r="E133" s="114"/>
    </row>
    <row r="135" spans="1:7" x14ac:dyDescent="0.25">
      <c r="A135" s="2" t="s">
        <v>294</v>
      </c>
    </row>
    <row r="137" spans="1:7" x14ac:dyDescent="0.25">
      <c r="A137"/>
      <c r="B137"/>
      <c r="D137" s="2">
        <f>(5*(E14*E13/1.4+E15*E13+E21)*(E12^4))/(384*200*E27)</f>
        <v>1.6033524258760107E-2</v>
      </c>
      <c r="E137" s="2" t="s">
        <v>290</v>
      </c>
    </row>
    <row r="139" spans="1:7" ht="33.75" customHeight="1" x14ac:dyDescent="0.25">
      <c r="A139" s="93" t="s">
        <v>296</v>
      </c>
      <c r="B139" s="93"/>
      <c r="C139" s="93"/>
      <c r="D139" s="93"/>
      <c r="E139" s="93"/>
      <c r="F139" s="93"/>
      <c r="G139" s="93"/>
    </row>
    <row r="141" spans="1:7" x14ac:dyDescent="0.25">
      <c r="A141" s="81" t="str">
        <f>IF(D132&gt;D137,"Условия прочности по прогибу обеспечены","Условия прочности по прогибу не обеспечены")</f>
        <v>Условия прочности по прогибу обеспечены</v>
      </c>
      <c r="B141" s="81"/>
      <c r="C141" s="81"/>
      <c r="D141" s="81"/>
      <c r="E141" s="81"/>
    </row>
  </sheetData>
  <mergeCells count="51">
    <mergeCell ref="A139:G139"/>
    <mergeCell ref="E118:G118"/>
    <mergeCell ref="E120:G120"/>
    <mergeCell ref="A124:G124"/>
    <mergeCell ref="C132:C133"/>
    <mergeCell ref="A132:A133"/>
    <mergeCell ref="A130:G130"/>
    <mergeCell ref="D132:D133"/>
    <mergeCell ref="E132:E133"/>
    <mergeCell ref="E93:G93"/>
    <mergeCell ref="E107:G107"/>
    <mergeCell ref="A18:D18"/>
    <mergeCell ref="A23:D23"/>
    <mergeCell ref="A22:D22"/>
    <mergeCell ref="A25:D25"/>
    <mergeCell ref="A29:D29"/>
    <mergeCell ref="A19:D19"/>
    <mergeCell ref="A21:D21"/>
    <mergeCell ref="J63:J64"/>
    <mergeCell ref="K63:Q63"/>
    <mergeCell ref="J61:Q62"/>
    <mergeCell ref="A13:D13"/>
    <mergeCell ref="E84:G84"/>
    <mergeCell ref="A42:G42"/>
    <mergeCell ref="A61:G61"/>
    <mergeCell ref="A79:G79"/>
    <mergeCell ref="A35:D35"/>
    <mergeCell ref="A36:D36"/>
    <mergeCell ref="A37:D37"/>
    <mergeCell ref="A38:D38"/>
    <mergeCell ref="A39:D39"/>
    <mergeCell ref="A26:D26"/>
    <mergeCell ref="A27:D27"/>
    <mergeCell ref="A24:D24"/>
    <mergeCell ref="A17:D17"/>
    <mergeCell ref="A28:D28"/>
    <mergeCell ref="A20:D20"/>
    <mergeCell ref="A15:D15"/>
    <mergeCell ref="A11:D11"/>
    <mergeCell ref="A12:D12"/>
    <mergeCell ref="I2:I3"/>
    <mergeCell ref="J2:P2"/>
    <mergeCell ref="I1:P1"/>
    <mergeCell ref="A14:D14"/>
    <mergeCell ref="A16:D16"/>
    <mergeCell ref="A1:G1"/>
    <mergeCell ref="B8:C8"/>
    <mergeCell ref="B4:F4"/>
    <mergeCell ref="B5:F5"/>
    <mergeCell ref="B6:F6"/>
    <mergeCell ref="B7:F7"/>
  </mergeCells>
  <pageMargins left="0.7" right="0.7" top="0.75" bottom="0.75" header="0.3" footer="0.3"/>
  <pageSetup paperSize="9" orientation="portrait" r:id="rId1"/>
  <headerFooter>
    <oddHeader>&amp;CРасчет прогона из швеллера для наклонной кровли согласно СНиП II-23-81 (без учета бимомента)</oddHeader>
    <oddFooter>&amp;Cbuildingbook.ru&amp;R&amp;P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34" r:id="rId4">
          <objectPr defaultSize="0" autoPict="0" r:id="rId5">
            <anchor moveWithCells="1" sizeWithCells="1">
              <from>
                <xdr:col>1</xdr:col>
                <xdr:colOff>0</xdr:colOff>
                <xdr:row>64</xdr:row>
                <xdr:rowOff>0</xdr:rowOff>
              </from>
              <to>
                <xdr:col>1</xdr:col>
                <xdr:colOff>333375</xdr:colOff>
                <xdr:row>65</xdr:row>
                <xdr:rowOff>28575</xdr:rowOff>
              </to>
            </anchor>
          </objectPr>
        </oleObject>
      </mc:Choice>
      <mc:Fallback>
        <oleObject progId="Equation.3" shapeId="1034" r:id="rId4"/>
      </mc:Fallback>
    </mc:AlternateContent>
    <mc:AlternateContent xmlns:mc="http://schemas.openxmlformats.org/markup-compatibility/2006">
      <mc:Choice Requires="x14">
        <oleObject progId="Equation.3" shapeId="1036" r:id="rId6">
          <objectPr defaultSize="0" autoPict="0" r:id="rId7">
            <anchor moveWithCells="1" sizeWithCells="1">
              <from>
                <xdr:col>0</xdr:col>
                <xdr:colOff>533400</xdr:colOff>
                <xdr:row>61</xdr:row>
                <xdr:rowOff>95250</xdr:rowOff>
              </from>
              <to>
                <xdr:col>3</xdr:col>
                <xdr:colOff>476250</xdr:colOff>
                <xdr:row>63</xdr:row>
                <xdr:rowOff>95250</xdr:rowOff>
              </to>
            </anchor>
          </objectPr>
        </oleObject>
      </mc:Choice>
      <mc:Fallback>
        <oleObject progId="Equation.3" shapeId="1036" r:id="rId6"/>
      </mc:Fallback>
    </mc:AlternateContent>
    <mc:AlternateContent xmlns:mc="http://schemas.openxmlformats.org/markup-compatibility/2006">
      <mc:Choice Requires="x14">
        <oleObject progId="Equation.3" shapeId="1037" r:id="rId8">
          <objectPr defaultSize="0" autoPict="0" r:id="rId9">
            <anchor moveWithCells="1" sizeWithCells="1">
              <from>
                <xdr:col>0</xdr:col>
                <xdr:colOff>523875</xdr:colOff>
                <xdr:row>65</xdr:row>
                <xdr:rowOff>123825</xdr:rowOff>
              </from>
              <to>
                <xdr:col>3</xdr:col>
                <xdr:colOff>428625</xdr:colOff>
                <xdr:row>67</xdr:row>
                <xdr:rowOff>85725</xdr:rowOff>
              </to>
            </anchor>
          </objectPr>
        </oleObject>
      </mc:Choice>
      <mc:Fallback>
        <oleObject progId="Equation.3" shapeId="1037" r:id="rId8"/>
      </mc:Fallback>
    </mc:AlternateContent>
    <mc:AlternateContent xmlns:mc="http://schemas.openxmlformats.org/markup-compatibility/2006">
      <mc:Choice Requires="x14">
        <oleObject progId="Equation.3" shapeId="1038" r:id="rId10">
          <objectPr defaultSize="0" autoPict="0" r:id="rId11">
            <anchor moveWithCells="1" sizeWithCells="1">
              <from>
                <xdr:col>0</xdr:col>
                <xdr:colOff>523875</xdr:colOff>
                <xdr:row>67</xdr:row>
                <xdr:rowOff>190500</xdr:rowOff>
              </from>
              <to>
                <xdr:col>1</xdr:col>
                <xdr:colOff>314325</xdr:colOff>
                <xdr:row>69</xdr:row>
                <xdr:rowOff>28575</xdr:rowOff>
              </to>
            </anchor>
          </objectPr>
        </oleObject>
      </mc:Choice>
      <mc:Fallback>
        <oleObject progId="Equation.3" shapeId="1038" r:id="rId10"/>
      </mc:Fallback>
    </mc:AlternateContent>
    <mc:AlternateContent xmlns:mc="http://schemas.openxmlformats.org/markup-compatibility/2006">
      <mc:Choice Requires="x14">
        <oleObject progId="Equation.3" shapeId="1039" r:id="rId12">
          <objectPr defaultSize="0" autoPict="0" r:id="rId13">
            <anchor moveWithCells="1" sizeWithCells="1">
              <from>
                <xdr:col>0</xdr:col>
                <xdr:colOff>523875</xdr:colOff>
                <xdr:row>69</xdr:row>
                <xdr:rowOff>66675</xdr:rowOff>
              </from>
              <to>
                <xdr:col>4</xdr:col>
                <xdr:colOff>133350</xdr:colOff>
                <xdr:row>71</xdr:row>
                <xdr:rowOff>85725</xdr:rowOff>
              </to>
            </anchor>
          </objectPr>
        </oleObject>
      </mc:Choice>
      <mc:Fallback>
        <oleObject progId="Equation.3" shapeId="1039" r:id="rId12"/>
      </mc:Fallback>
    </mc:AlternateContent>
    <mc:AlternateContent xmlns:mc="http://schemas.openxmlformats.org/markup-compatibility/2006">
      <mc:Choice Requires="x14">
        <oleObject progId="Equation.3" shapeId="1040" r:id="rId14">
          <objectPr defaultSize="0" autoPict="0" r:id="rId15">
            <anchor moveWithCells="1" sizeWithCells="1">
              <from>
                <xdr:col>0</xdr:col>
                <xdr:colOff>533400</xdr:colOff>
                <xdr:row>71</xdr:row>
                <xdr:rowOff>161925</xdr:rowOff>
              </from>
              <to>
                <xdr:col>1</xdr:col>
                <xdr:colOff>371475</xdr:colOff>
                <xdr:row>72</xdr:row>
                <xdr:rowOff>190500</xdr:rowOff>
              </to>
            </anchor>
          </objectPr>
        </oleObject>
      </mc:Choice>
      <mc:Fallback>
        <oleObject progId="Equation.3" shapeId="1040" r:id="rId14"/>
      </mc:Fallback>
    </mc:AlternateContent>
    <mc:AlternateContent xmlns:mc="http://schemas.openxmlformats.org/markup-compatibility/2006">
      <mc:Choice Requires="x14">
        <oleObject progId="Equation.3" shapeId="1043" r:id="rId16">
          <objectPr defaultSize="0" autoPict="0" r:id="rId17">
            <anchor moveWithCells="1" sizeWithCells="1">
              <from>
                <xdr:col>0</xdr:col>
                <xdr:colOff>533400</xdr:colOff>
                <xdr:row>73</xdr:row>
                <xdr:rowOff>47625</xdr:rowOff>
              </from>
              <to>
                <xdr:col>4</xdr:col>
                <xdr:colOff>104775</xdr:colOff>
                <xdr:row>75</xdr:row>
                <xdr:rowOff>66675</xdr:rowOff>
              </to>
            </anchor>
          </objectPr>
        </oleObject>
      </mc:Choice>
      <mc:Fallback>
        <oleObject progId="Equation.3" shapeId="1043" r:id="rId16"/>
      </mc:Fallback>
    </mc:AlternateContent>
    <mc:AlternateContent xmlns:mc="http://schemas.openxmlformats.org/markup-compatibility/2006">
      <mc:Choice Requires="x14">
        <oleObject progId="Equation.3" shapeId="1044" r:id="rId18">
          <objectPr defaultSize="0" autoPict="0" r:id="rId19">
            <anchor moveWithCells="1" sizeWithCells="1">
              <from>
                <xdr:col>1</xdr:col>
                <xdr:colOff>0</xdr:colOff>
                <xdr:row>76</xdr:row>
                <xdr:rowOff>0</xdr:rowOff>
              </from>
              <to>
                <xdr:col>1</xdr:col>
                <xdr:colOff>381000</xdr:colOff>
                <xdr:row>77</xdr:row>
                <xdr:rowOff>38100</xdr:rowOff>
              </to>
            </anchor>
          </objectPr>
        </oleObject>
      </mc:Choice>
      <mc:Fallback>
        <oleObject progId="Equation.3" shapeId="1044" r:id="rId18"/>
      </mc:Fallback>
    </mc:AlternateContent>
    <mc:AlternateContent xmlns:mc="http://schemas.openxmlformats.org/markup-compatibility/2006">
      <mc:Choice Requires="x14">
        <oleObject progId="Equation.3" shapeId="1049" r:id="rId20">
          <objectPr defaultSize="0" autoPict="0" r:id="rId21">
            <anchor moveWithCells="1" sizeWithCells="1">
              <from>
                <xdr:col>1</xdr:col>
                <xdr:colOff>0</xdr:colOff>
                <xdr:row>80</xdr:row>
                <xdr:rowOff>0</xdr:rowOff>
              </from>
              <to>
                <xdr:col>3</xdr:col>
                <xdr:colOff>304800</xdr:colOff>
                <xdr:row>82</xdr:row>
                <xdr:rowOff>57150</xdr:rowOff>
              </to>
            </anchor>
          </objectPr>
        </oleObject>
      </mc:Choice>
      <mc:Fallback>
        <oleObject progId="Equation.3" shapeId="1049" r:id="rId20"/>
      </mc:Fallback>
    </mc:AlternateContent>
    <mc:AlternateContent xmlns:mc="http://schemas.openxmlformats.org/markup-compatibility/2006">
      <mc:Choice Requires="x14">
        <oleObject progId="Equation.3" shapeId="1050" r:id="rId22">
          <objectPr defaultSize="0" autoPict="0" r:id="rId23">
            <anchor moveWithCells="1" sizeWithCells="1">
              <from>
                <xdr:col>0</xdr:col>
                <xdr:colOff>352425</xdr:colOff>
                <xdr:row>82</xdr:row>
                <xdr:rowOff>95250</xdr:rowOff>
              </from>
              <to>
                <xdr:col>3</xdr:col>
                <xdr:colOff>28575</xdr:colOff>
                <xdr:row>84</xdr:row>
                <xdr:rowOff>152400</xdr:rowOff>
              </to>
            </anchor>
          </objectPr>
        </oleObject>
      </mc:Choice>
      <mc:Fallback>
        <oleObject progId="Equation.3" shapeId="1050" r:id="rId22"/>
      </mc:Fallback>
    </mc:AlternateContent>
    <mc:AlternateContent xmlns:mc="http://schemas.openxmlformats.org/markup-compatibility/2006">
      <mc:Choice Requires="x14">
        <oleObject progId="Equation.3" shapeId="1051" r:id="rId24">
          <objectPr defaultSize="0" autoPict="0" r:id="rId25">
            <anchor moveWithCells="1" sizeWithCells="1">
              <from>
                <xdr:col>0</xdr:col>
                <xdr:colOff>457200</xdr:colOff>
                <xdr:row>89</xdr:row>
                <xdr:rowOff>47625</xdr:rowOff>
              </from>
              <to>
                <xdr:col>2</xdr:col>
                <xdr:colOff>209550</xdr:colOff>
                <xdr:row>91</xdr:row>
                <xdr:rowOff>76200</xdr:rowOff>
              </to>
            </anchor>
          </objectPr>
        </oleObject>
      </mc:Choice>
      <mc:Fallback>
        <oleObject progId="Equation.3" shapeId="1051" r:id="rId24"/>
      </mc:Fallback>
    </mc:AlternateContent>
    <mc:AlternateContent xmlns:mc="http://schemas.openxmlformats.org/markup-compatibility/2006">
      <mc:Choice Requires="x14">
        <oleObject progId="Equation.3" shapeId="1058" r:id="rId26">
          <objectPr defaultSize="0" autoPict="0" r:id="rId27">
            <anchor moveWithCells="1" sizeWithCells="1">
              <from>
                <xdr:col>0</xdr:col>
                <xdr:colOff>190500</xdr:colOff>
                <xdr:row>111</xdr:row>
                <xdr:rowOff>114300</xdr:rowOff>
              </from>
              <to>
                <xdr:col>1</xdr:col>
                <xdr:colOff>371475</xdr:colOff>
                <xdr:row>113</xdr:row>
                <xdr:rowOff>142875</xdr:rowOff>
              </to>
            </anchor>
          </objectPr>
        </oleObject>
      </mc:Choice>
      <mc:Fallback>
        <oleObject progId="Equation.3" shapeId="1058" r:id="rId26"/>
      </mc:Fallback>
    </mc:AlternateContent>
    <mc:AlternateContent xmlns:mc="http://schemas.openxmlformats.org/markup-compatibility/2006">
      <mc:Choice Requires="x14">
        <oleObject progId="Equation.3" shapeId="1059" r:id="rId28">
          <objectPr defaultSize="0" autoPict="0" r:id="rId29">
            <anchor moveWithCells="1" sizeWithCells="1">
              <from>
                <xdr:col>3</xdr:col>
                <xdr:colOff>28575</xdr:colOff>
                <xdr:row>111</xdr:row>
                <xdr:rowOff>85725</xdr:rowOff>
              </from>
              <to>
                <xdr:col>4</xdr:col>
                <xdr:colOff>276225</xdr:colOff>
                <xdr:row>113</xdr:row>
                <xdr:rowOff>152400</xdr:rowOff>
              </to>
            </anchor>
          </objectPr>
        </oleObject>
      </mc:Choice>
      <mc:Fallback>
        <oleObject progId="Equation.3" shapeId="1059" r:id="rId28"/>
      </mc:Fallback>
    </mc:AlternateContent>
    <mc:AlternateContent xmlns:mc="http://schemas.openxmlformats.org/markup-compatibility/2006">
      <mc:Choice Requires="x14">
        <oleObject progId="Equation.3" shapeId="1060" r:id="rId30">
          <objectPr defaultSize="0" autoPict="0" r:id="rId31">
            <anchor moveWithCells="1" sizeWithCells="1">
              <from>
                <xdr:col>0</xdr:col>
                <xdr:colOff>209550</xdr:colOff>
                <xdr:row>117</xdr:row>
                <xdr:rowOff>0</xdr:rowOff>
              </from>
              <to>
                <xdr:col>1</xdr:col>
                <xdr:colOff>304800</xdr:colOff>
                <xdr:row>118</xdr:row>
                <xdr:rowOff>114300</xdr:rowOff>
              </to>
            </anchor>
          </objectPr>
        </oleObject>
      </mc:Choice>
      <mc:Fallback>
        <oleObject progId="Equation.3" shapeId="1060" r:id="rId30"/>
      </mc:Fallback>
    </mc:AlternateContent>
    <mc:AlternateContent xmlns:mc="http://schemas.openxmlformats.org/markup-compatibility/2006">
      <mc:Choice Requires="x14">
        <oleObject progId="Equation.3" shapeId="1061" r:id="rId32">
          <objectPr defaultSize="0" autoPict="0" r:id="rId33">
            <anchor moveWithCells="1" sizeWithCells="1">
              <from>
                <xdr:col>0</xdr:col>
                <xdr:colOff>114300</xdr:colOff>
                <xdr:row>118</xdr:row>
                <xdr:rowOff>85725</xdr:rowOff>
              </from>
              <to>
                <xdr:col>1</xdr:col>
                <xdr:colOff>295275</xdr:colOff>
                <xdr:row>120</xdr:row>
                <xdr:rowOff>152400</xdr:rowOff>
              </to>
            </anchor>
          </objectPr>
        </oleObject>
      </mc:Choice>
      <mc:Fallback>
        <oleObject progId="Equation.3" shapeId="1061" r:id="rId32"/>
      </mc:Fallback>
    </mc:AlternateContent>
    <mc:AlternateContent xmlns:mc="http://schemas.openxmlformats.org/markup-compatibility/2006">
      <mc:Choice Requires="x14">
        <oleObject progId="Equation.3" shapeId="1063" r:id="rId34">
          <objectPr defaultSize="0" autoPict="0" r:id="rId35">
            <anchor moveWithCells="1" sizeWithCells="1">
              <from>
                <xdr:col>0</xdr:col>
                <xdr:colOff>523875</xdr:colOff>
                <xdr:row>135</xdr:row>
                <xdr:rowOff>66675</xdr:rowOff>
              </from>
              <to>
                <xdr:col>2</xdr:col>
                <xdr:colOff>571500</xdr:colOff>
                <xdr:row>137</xdr:row>
                <xdr:rowOff>85725</xdr:rowOff>
              </to>
            </anchor>
          </objectPr>
        </oleObject>
      </mc:Choice>
      <mc:Fallback>
        <oleObject progId="Equation.3" shapeId="1063" r:id="rId34"/>
      </mc:Fallback>
    </mc:AlternateContent>
    <mc:AlternateContent xmlns:mc="http://schemas.openxmlformats.org/markup-compatibility/2006">
      <mc:Choice Requires="x14">
        <oleObject progId="Equation.3" shapeId="1052" r:id="rId36">
          <objectPr defaultSize="0" autoPict="0" r:id="rId37">
            <anchor moveWithCells="1" sizeWithCells="1">
              <from>
                <xdr:col>0</xdr:col>
                <xdr:colOff>295275</xdr:colOff>
                <xdr:row>91</xdr:row>
                <xdr:rowOff>104775</xdr:rowOff>
              </from>
              <to>
                <xdr:col>1</xdr:col>
                <xdr:colOff>400050</xdr:colOff>
                <xdr:row>93</xdr:row>
                <xdr:rowOff>133350</xdr:rowOff>
              </to>
            </anchor>
          </objectPr>
        </oleObject>
      </mc:Choice>
      <mc:Fallback>
        <oleObject progId="Equation.3" shapeId="1052" r:id="rId36"/>
      </mc:Fallback>
    </mc:AlternateContent>
    <mc:AlternateContent xmlns:mc="http://schemas.openxmlformats.org/markup-compatibility/2006">
      <mc:Choice Requires="x14">
        <oleObject progId="Equation.3" shapeId="1053" r:id="rId38">
          <objectPr defaultSize="0" autoPict="0" r:id="rId39">
            <anchor moveWithCells="1" sizeWithCells="1">
              <from>
                <xdr:col>0</xdr:col>
                <xdr:colOff>476250</xdr:colOff>
                <xdr:row>97</xdr:row>
                <xdr:rowOff>114300</xdr:rowOff>
              </from>
              <to>
                <xdr:col>2</xdr:col>
                <xdr:colOff>57150</xdr:colOff>
                <xdr:row>99</xdr:row>
                <xdr:rowOff>152400</xdr:rowOff>
              </to>
            </anchor>
          </objectPr>
        </oleObject>
      </mc:Choice>
      <mc:Fallback>
        <oleObject progId="Equation.3" shapeId="1053" r:id="rId38"/>
      </mc:Fallback>
    </mc:AlternateContent>
    <mc:AlternateContent xmlns:mc="http://schemas.openxmlformats.org/markup-compatibility/2006">
      <mc:Choice Requires="x14">
        <oleObject progId="Equation.3" shapeId="1056" r:id="rId40">
          <objectPr defaultSize="0" autoPict="0" r:id="rId41">
            <anchor moveWithCells="1" sizeWithCells="1">
              <from>
                <xdr:col>0</xdr:col>
                <xdr:colOff>438150</xdr:colOff>
                <xdr:row>101</xdr:row>
                <xdr:rowOff>85725</xdr:rowOff>
              </from>
              <to>
                <xdr:col>2</xdr:col>
                <xdr:colOff>180975</xdr:colOff>
                <xdr:row>103</xdr:row>
                <xdr:rowOff>123825</xdr:rowOff>
              </to>
            </anchor>
          </objectPr>
        </oleObject>
      </mc:Choice>
      <mc:Fallback>
        <oleObject progId="Equation.3" shapeId="1056" r:id="rId40"/>
      </mc:Fallback>
    </mc:AlternateContent>
    <mc:AlternateContent xmlns:mc="http://schemas.openxmlformats.org/markup-compatibility/2006">
      <mc:Choice Requires="x14">
        <oleObject progId="Equation.3" shapeId="1057" r:id="rId42">
          <objectPr defaultSize="0" autoPict="0" r:id="rId43">
            <anchor moveWithCells="1" sizeWithCells="1">
              <from>
                <xdr:col>0</xdr:col>
                <xdr:colOff>409575</xdr:colOff>
                <xdr:row>105</xdr:row>
                <xdr:rowOff>76200</xdr:rowOff>
              </from>
              <to>
                <xdr:col>1</xdr:col>
                <xdr:colOff>333375</xdr:colOff>
                <xdr:row>107</xdr:row>
                <xdr:rowOff>114300</xdr:rowOff>
              </to>
            </anchor>
          </objectPr>
        </oleObject>
      </mc:Choice>
      <mc:Fallback>
        <oleObject progId="Equation.3" shapeId="1057" r:id="rId42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№ Швеллера" prompt="Выберите № швеллера согласно ГОСТ 8240-97">
          <x14:formula1>
            <xm:f>'Геом. характеристики швеллера'!$A$6:$A$41</xm:f>
          </x14:formula1>
          <xm:sqref>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69"/>
  <sheetViews>
    <sheetView tabSelected="1" topLeftCell="A10" zoomScaleNormal="100" workbookViewId="0">
      <selection activeCell="E112" sqref="E112:G112"/>
    </sheetView>
  </sheetViews>
  <sheetFormatPr defaultRowHeight="15.75" x14ac:dyDescent="0.25"/>
  <cols>
    <col min="1" max="1" width="8.140625" style="2" customWidth="1"/>
    <col min="2" max="2" width="6.42578125" style="2" customWidth="1"/>
    <col min="3" max="3" width="9" style="2" customWidth="1"/>
    <col min="4" max="4" width="8.28515625" style="2" customWidth="1"/>
    <col min="5" max="5" width="18.140625" style="2" customWidth="1"/>
    <col min="6" max="6" width="5" style="2" customWidth="1"/>
    <col min="7" max="7" width="32" style="2" customWidth="1"/>
    <col min="8" max="8" width="32.140625" style="2" customWidth="1"/>
    <col min="9" max="9" width="20.85546875" style="2" customWidth="1"/>
    <col min="10" max="10" width="20.7109375" style="2" customWidth="1"/>
    <col min="11" max="11" width="10" style="2" customWidth="1"/>
    <col min="12" max="16384" width="9.140625" style="2"/>
  </cols>
  <sheetData>
    <row r="1" spans="1:16" ht="32.25" customHeight="1" x14ac:dyDescent="0.25">
      <c r="A1" s="93" t="s">
        <v>7</v>
      </c>
      <c r="B1" s="93"/>
      <c r="C1" s="93"/>
      <c r="D1" s="93"/>
      <c r="E1" s="93"/>
      <c r="F1" s="93"/>
      <c r="G1" s="93"/>
      <c r="I1" s="88"/>
      <c r="J1" s="88"/>
      <c r="K1" s="88"/>
      <c r="L1" s="88"/>
      <c r="M1" s="88"/>
      <c r="N1" s="88"/>
      <c r="O1" s="88"/>
      <c r="P1" s="88"/>
    </row>
    <row r="2" spans="1:16" x14ac:dyDescent="0.25">
      <c r="I2" s="86"/>
      <c r="J2" s="87"/>
      <c r="K2" s="87"/>
      <c r="L2" s="87"/>
      <c r="M2" s="87"/>
      <c r="N2" s="87"/>
      <c r="O2" s="87"/>
      <c r="P2" s="87"/>
    </row>
    <row r="3" spans="1:16" x14ac:dyDescent="0.25">
      <c r="A3" s="2" t="s">
        <v>0</v>
      </c>
      <c r="I3" s="86"/>
      <c r="J3" s="11"/>
      <c r="K3" s="11"/>
      <c r="L3" s="11"/>
      <c r="M3" s="11"/>
      <c r="N3" s="11"/>
      <c r="O3" s="11"/>
      <c r="P3" s="11"/>
    </row>
    <row r="4" spans="1:16" ht="39" customHeight="1" x14ac:dyDescent="0.25">
      <c r="A4" s="3"/>
      <c r="B4" s="95" t="s">
        <v>5</v>
      </c>
      <c r="C4" s="95"/>
      <c r="D4" s="95"/>
      <c r="E4" s="95"/>
      <c r="F4" s="95"/>
      <c r="G4" s="7"/>
      <c r="I4" s="38"/>
      <c r="J4" s="11"/>
      <c r="K4" s="11"/>
      <c r="L4" s="11"/>
      <c r="M4" s="11"/>
      <c r="N4" s="11"/>
      <c r="O4" s="11"/>
      <c r="P4" s="11"/>
    </row>
    <row r="5" spans="1:16" ht="38.25" customHeight="1" x14ac:dyDescent="0.25">
      <c r="A5" s="3"/>
      <c r="B5" s="95" t="s">
        <v>4</v>
      </c>
      <c r="C5" s="95"/>
      <c r="D5" s="95"/>
      <c r="E5" s="95"/>
      <c r="F5" s="95"/>
      <c r="G5" s="8"/>
      <c r="I5" s="38"/>
      <c r="J5" s="11"/>
      <c r="K5" s="11"/>
      <c r="L5" s="11"/>
      <c r="M5" s="11"/>
      <c r="N5" s="11"/>
      <c r="O5" s="11"/>
      <c r="P5" s="11"/>
    </row>
    <row r="6" spans="1:16" ht="66.75" customHeight="1" x14ac:dyDescent="0.25">
      <c r="A6" s="3"/>
      <c r="B6" s="95" t="s">
        <v>10</v>
      </c>
      <c r="C6" s="95"/>
      <c r="D6" s="95"/>
      <c r="E6" s="95"/>
      <c r="F6" s="95"/>
      <c r="G6" s="8"/>
      <c r="I6" s="38"/>
      <c r="J6" s="11"/>
      <c r="K6" s="11"/>
      <c r="L6" s="11"/>
      <c r="M6" s="11"/>
      <c r="N6" s="11"/>
      <c r="O6" s="11"/>
      <c r="P6" s="11"/>
    </row>
    <row r="7" spans="1:16" ht="50.25" customHeight="1" x14ac:dyDescent="0.25">
      <c r="A7" s="3"/>
      <c r="B7" s="95" t="s">
        <v>236</v>
      </c>
      <c r="C7" s="95"/>
      <c r="D7" s="95"/>
      <c r="E7" s="95"/>
      <c r="F7" s="95"/>
      <c r="G7" s="8"/>
      <c r="I7" s="38"/>
      <c r="J7" s="11"/>
      <c r="K7" s="11"/>
      <c r="L7" s="11"/>
      <c r="M7" s="11"/>
      <c r="N7" s="11"/>
      <c r="O7" s="11"/>
      <c r="P7" s="11"/>
    </row>
    <row r="8" spans="1:16" ht="19.5" customHeight="1" x14ac:dyDescent="0.25">
      <c r="A8" s="3"/>
      <c r="B8" s="94"/>
      <c r="C8" s="94"/>
      <c r="D8" s="6"/>
      <c r="E8" s="6"/>
      <c r="F8" s="6"/>
      <c r="G8" s="9" t="s">
        <v>9</v>
      </c>
      <c r="I8" s="38"/>
      <c r="J8" s="11"/>
      <c r="K8" s="11"/>
      <c r="L8" s="11"/>
      <c r="M8" s="11"/>
      <c r="N8" s="11"/>
      <c r="O8" s="11"/>
      <c r="P8" s="11"/>
    </row>
    <row r="9" spans="1:16" x14ac:dyDescent="0.25">
      <c r="A9" s="2" t="s">
        <v>1</v>
      </c>
      <c r="I9" s="38"/>
      <c r="J9" s="11"/>
      <c r="K9" s="11"/>
      <c r="L9" s="11"/>
      <c r="M9" s="11"/>
      <c r="N9" s="11"/>
      <c r="O9" s="11"/>
      <c r="P9" s="11"/>
    </row>
    <row r="10" spans="1:16" x14ac:dyDescent="0.25">
      <c r="I10" s="38"/>
      <c r="J10" s="11"/>
      <c r="K10" s="11"/>
      <c r="L10" s="11"/>
      <c r="M10" s="11"/>
      <c r="N10" s="11"/>
      <c r="O10" s="11"/>
      <c r="P10" s="11"/>
    </row>
    <row r="11" spans="1:16" x14ac:dyDescent="0.25">
      <c r="A11" s="92" t="s">
        <v>2</v>
      </c>
      <c r="B11" s="92"/>
      <c r="C11" s="92"/>
      <c r="D11" s="92"/>
      <c r="E11" s="44" t="s">
        <v>3</v>
      </c>
      <c r="I11" s="38"/>
      <c r="J11" s="11"/>
      <c r="K11" s="11"/>
      <c r="L11" s="11"/>
      <c r="M11" s="11"/>
      <c r="N11" s="11"/>
      <c r="O11" s="11"/>
      <c r="P11" s="11"/>
    </row>
    <row r="12" spans="1:16" x14ac:dyDescent="0.25">
      <c r="A12" s="92" t="s">
        <v>6</v>
      </c>
      <c r="B12" s="92"/>
      <c r="C12" s="92"/>
      <c r="D12" s="92"/>
      <c r="E12" s="13">
        <v>6</v>
      </c>
      <c r="I12" s="38"/>
      <c r="J12" s="11"/>
      <c r="K12" s="11"/>
      <c r="L12" s="11"/>
      <c r="M12" s="11"/>
      <c r="N12" s="11"/>
      <c r="O12" s="11"/>
      <c r="P12" s="11"/>
    </row>
    <row r="13" spans="1:16" x14ac:dyDescent="0.25">
      <c r="A13" s="107" t="s">
        <v>70</v>
      </c>
      <c r="B13" s="108"/>
      <c r="C13" s="108"/>
      <c r="D13" s="109"/>
      <c r="E13" s="13">
        <v>1.5</v>
      </c>
      <c r="I13" s="38"/>
      <c r="J13" s="11"/>
      <c r="K13" s="11"/>
      <c r="L13" s="11"/>
      <c r="M13" s="11"/>
      <c r="N13" s="11"/>
      <c r="O13" s="11"/>
      <c r="P13" s="11"/>
    </row>
    <row r="14" spans="1:16" ht="33.75" customHeight="1" x14ac:dyDescent="0.25">
      <c r="A14" s="89" t="s">
        <v>295</v>
      </c>
      <c r="B14" s="90"/>
      <c r="C14" s="90"/>
      <c r="D14" s="91"/>
      <c r="E14" s="13">
        <v>320</v>
      </c>
      <c r="I14" s="38"/>
      <c r="J14" s="11"/>
      <c r="K14" s="11"/>
      <c r="L14" s="11"/>
      <c r="M14" s="11"/>
      <c r="N14" s="11"/>
      <c r="O14" s="11"/>
      <c r="P14" s="11"/>
    </row>
    <row r="15" spans="1:16" ht="18.75" x14ac:dyDescent="0.35">
      <c r="A15" s="92" t="s">
        <v>68</v>
      </c>
      <c r="B15" s="92"/>
      <c r="C15" s="92"/>
      <c r="D15" s="92"/>
      <c r="E15" s="13">
        <v>26</v>
      </c>
      <c r="I15" s="38"/>
      <c r="J15" s="11"/>
      <c r="K15" s="11"/>
      <c r="L15" s="11"/>
      <c r="M15" s="11"/>
      <c r="N15" s="11"/>
      <c r="O15" s="11"/>
      <c r="P15" s="11"/>
    </row>
    <row r="16" spans="1:16" ht="17.25" x14ac:dyDescent="0.3">
      <c r="A16" s="92" t="s">
        <v>11</v>
      </c>
      <c r="B16" s="92"/>
      <c r="C16" s="92"/>
      <c r="D16" s="92"/>
      <c r="E16" s="13">
        <v>6</v>
      </c>
      <c r="I16" s="38"/>
      <c r="J16" s="11"/>
      <c r="K16" s="11"/>
      <c r="L16" s="11"/>
      <c r="M16" s="11"/>
      <c r="N16" s="11"/>
      <c r="O16" s="11"/>
      <c r="P16" s="11"/>
    </row>
    <row r="17" spans="1:16" ht="29.25" customHeight="1" x14ac:dyDescent="0.25">
      <c r="A17" s="96" t="s">
        <v>23</v>
      </c>
      <c r="B17" s="96"/>
      <c r="C17" s="96"/>
      <c r="D17" s="96"/>
      <c r="E17" s="13">
        <v>240</v>
      </c>
      <c r="I17" s="38"/>
      <c r="J17" s="11"/>
      <c r="K17" s="11"/>
      <c r="L17" s="11"/>
      <c r="M17" s="11"/>
      <c r="N17" s="11"/>
      <c r="O17" s="11"/>
      <c r="P17" s="11"/>
    </row>
    <row r="18" spans="1:16" ht="32.25" customHeight="1" x14ac:dyDescent="0.25">
      <c r="A18" s="89" t="s">
        <v>281</v>
      </c>
      <c r="B18" s="90"/>
      <c r="C18" s="90"/>
      <c r="D18" s="91"/>
      <c r="E18" s="13">
        <f>0.58*E17</f>
        <v>139.19999999999999</v>
      </c>
      <c r="I18" s="80"/>
      <c r="J18" s="11"/>
      <c r="K18" s="11"/>
      <c r="L18" s="11"/>
      <c r="M18" s="11"/>
      <c r="N18" s="11"/>
      <c r="O18" s="11"/>
      <c r="P18" s="11"/>
    </row>
    <row r="19" spans="1:16" x14ac:dyDescent="0.25">
      <c r="A19" s="92" t="s">
        <v>20</v>
      </c>
      <c r="B19" s="92"/>
      <c r="C19" s="92"/>
      <c r="D19" s="92"/>
      <c r="E19" s="13">
        <v>0.9</v>
      </c>
      <c r="I19" s="38"/>
      <c r="J19" s="11"/>
      <c r="K19" s="11"/>
      <c r="L19" s="11"/>
      <c r="M19" s="11"/>
      <c r="N19" s="11"/>
      <c r="O19" s="11"/>
      <c r="P19" s="11"/>
    </row>
    <row r="20" spans="1:16" ht="21" customHeight="1" x14ac:dyDescent="0.25">
      <c r="A20" s="92" t="s">
        <v>17</v>
      </c>
      <c r="B20" s="92"/>
      <c r="C20" s="92"/>
      <c r="D20" s="92"/>
      <c r="E20" s="13" t="s">
        <v>18</v>
      </c>
      <c r="I20" s="38"/>
      <c r="J20" s="11"/>
      <c r="K20" s="11"/>
      <c r="L20" s="11"/>
      <c r="M20" s="11"/>
      <c r="N20" s="11"/>
      <c r="O20" s="11"/>
      <c r="P20" s="11"/>
    </row>
    <row r="21" spans="1:16" ht="18.75" x14ac:dyDescent="0.35">
      <c r="A21" s="92" t="s">
        <v>69</v>
      </c>
      <c r="B21" s="92"/>
      <c r="C21" s="92"/>
      <c r="D21" s="92"/>
      <c r="E21" s="13">
        <f>INDEX('Геом. характеристики швеллера'!I6:I41,MATCH('без учета бимомента,один тяж'!E20,'Геом. характеристики швеллера'!A6:A41,0))</f>
        <v>18.399999999999999</v>
      </c>
      <c r="I21" s="38"/>
      <c r="J21" s="11"/>
      <c r="K21" s="11"/>
      <c r="L21" s="11"/>
      <c r="M21" s="11"/>
      <c r="N21" s="11"/>
      <c r="O21" s="11"/>
      <c r="P21" s="11"/>
    </row>
    <row r="22" spans="1:16" x14ac:dyDescent="0.25">
      <c r="A22" s="107" t="s">
        <v>44</v>
      </c>
      <c r="B22" s="108"/>
      <c r="C22" s="108"/>
      <c r="D22" s="109"/>
      <c r="E22" s="13">
        <f>INDEX('Геом. характеристики швеллера'!B6:B41,MATCH('без учета бимомента,один тяж'!E20,'Геом. характеристики швеллера'!A6:A41,0))</f>
        <v>200</v>
      </c>
      <c r="I22" s="80"/>
      <c r="J22" s="11"/>
      <c r="K22" s="11"/>
      <c r="L22" s="11"/>
      <c r="M22" s="11"/>
      <c r="N22" s="11"/>
      <c r="O22" s="11"/>
      <c r="P22" s="11"/>
    </row>
    <row r="23" spans="1:16" x14ac:dyDescent="0.25">
      <c r="A23" s="107" t="s">
        <v>45</v>
      </c>
      <c r="B23" s="108"/>
      <c r="C23" s="108"/>
      <c r="D23" s="109"/>
      <c r="E23" s="13">
        <f>INDEX('Геом. характеристики швеллера'!C6:C41,MATCH('без учета бимомента,один тяж'!E20,'Геом. характеристики швеллера'!A6:A41,0))</f>
        <v>76</v>
      </c>
      <c r="I23" s="80"/>
      <c r="J23" s="11"/>
      <c r="K23" s="11"/>
      <c r="L23" s="11"/>
      <c r="M23" s="11"/>
      <c r="N23" s="11"/>
      <c r="O23" s="11"/>
      <c r="P23" s="11"/>
    </row>
    <row r="24" spans="1:16" ht="18.75" x14ac:dyDescent="0.35">
      <c r="A24" s="107" t="s">
        <v>271</v>
      </c>
      <c r="B24" s="108"/>
      <c r="C24" s="108"/>
      <c r="D24" s="109"/>
      <c r="E24" s="13">
        <f>INDEX('Геом. характеристики швеллера'!D6:D41,MATCH('без учета бимомента,один тяж'!E20,'Геом. характеристики швеллера'!A6:A41,0))</f>
        <v>5.2</v>
      </c>
      <c r="I24" s="80"/>
      <c r="J24" s="11"/>
      <c r="K24" s="11"/>
      <c r="L24" s="11"/>
      <c r="M24" s="11"/>
      <c r="N24" s="11"/>
      <c r="O24" s="11"/>
      <c r="P24" s="11"/>
    </row>
    <row r="25" spans="1:16" x14ac:dyDescent="0.25">
      <c r="A25" s="107" t="s">
        <v>285</v>
      </c>
      <c r="B25" s="108"/>
      <c r="C25" s="108"/>
      <c r="D25" s="109"/>
      <c r="E25" s="13">
        <f>INDEX('Геом. характеристики швеллера'!E6:E41,MATCH('без учета бимомента,один тяж'!E20,'Геом. характеристики швеллера'!A6:A41,0))</f>
        <v>9</v>
      </c>
      <c r="I25" s="80"/>
      <c r="J25" s="11"/>
      <c r="K25" s="11"/>
      <c r="L25" s="11"/>
      <c r="M25" s="11"/>
      <c r="N25" s="11"/>
      <c r="O25" s="11"/>
      <c r="P25" s="11"/>
    </row>
    <row r="26" spans="1:16" ht="33.75" customHeight="1" x14ac:dyDescent="0.25">
      <c r="A26" s="89" t="s">
        <v>272</v>
      </c>
      <c r="B26" s="90"/>
      <c r="C26" s="90"/>
      <c r="D26" s="91"/>
      <c r="E26" s="13">
        <f>INDEX('Геом. характеристики швеллера'!M6:M41,MATCH('без учета бимомента,один тяж'!E20,'Геом. характеристики швеллера'!A6:A41,0))</f>
        <v>88</v>
      </c>
      <c r="I26" s="80"/>
      <c r="J26" s="11"/>
      <c r="K26" s="11"/>
      <c r="L26" s="11"/>
      <c r="M26" s="11"/>
      <c r="N26" s="11"/>
      <c r="O26" s="11"/>
      <c r="P26" s="11"/>
    </row>
    <row r="27" spans="1:16" x14ac:dyDescent="0.25">
      <c r="A27" s="89" t="s">
        <v>270</v>
      </c>
      <c r="B27" s="90"/>
      <c r="C27" s="90"/>
      <c r="D27" s="91"/>
      <c r="E27" s="13">
        <f>INDEX('Геом. характеристики швеллера'!J6:J41,MATCH('без учета бимомента,один тяж'!E20,'Геом. характеристики швеллера'!A6:A41,0))</f>
        <v>1530</v>
      </c>
      <c r="I27" s="80"/>
      <c r="J27" s="11"/>
      <c r="K27" s="11"/>
      <c r="L27" s="11"/>
      <c r="M27" s="11"/>
      <c r="N27" s="11"/>
      <c r="O27" s="11"/>
      <c r="P27" s="11"/>
    </row>
    <row r="28" spans="1:16" ht="34.5" customHeight="1" x14ac:dyDescent="0.25">
      <c r="A28" s="96" t="s">
        <v>16</v>
      </c>
      <c r="B28" s="96"/>
      <c r="C28" s="96"/>
      <c r="D28" s="96"/>
      <c r="E28" s="13">
        <f>INDEX('Геом. характеристики швеллера'!K6:K41,MATCH('без учета бимомента,один тяж'!E20,'Геом. характеристики швеллера'!A6:A41,0))</f>
        <v>153</v>
      </c>
      <c r="I28" s="38"/>
      <c r="J28" s="11"/>
      <c r="K28" s="11"/>
      <c r="L28" s="11"/>
      <c r="M28" s="11"/>
      <c r="N28" s="11"/>
      <c r="O28" s="11"/>
      <c r="P28" s="11"/>
    </row>
    <row r="29" spans="1:16" ht="34.5" customHeight="1" x14ac:dyDescent="0.25">
      <c r="A29" s="96" t="s">
        <v>19</v>
      </c>
      <c r="B29" s="96"/>
      <c r="C29" s="96"/>
      <c r="D29" s="96"/>
      <c r="E29" s="13">
        <f>INDEX('Геом. характеристики швеллера'!O6:O41,MATCH('без учета бимомента,один тяж'!E20,'Геом. характеристики швеллера'!A6:A41,0))</f>
        <v>25.2</v>
      </c>
      <c r="I29" s="38"/>
      <c r="J29" s="11"/>
      <c r="K29" s="11"/>
      <c r="L29" s="11"/>
      <c r="M29" s="11"/>
      <c r="N29" s="11"/>
      <c r="O29" s="11"/>
      <c r="P29" s="11"/>
    </row>
    <row r="30" spans="1:16" x14ac:dyDescent="0.25">
      <c r="I30" s="38"/>
      <c r="J30" s="11"/>
      <c r="K30" s="11"/>
      <c r="L30" s="11"/>
      <c r="M30" s="11"/>
      <c r="N30" s="11"/>
      <c r="O30" s="11"/>
      <c r="P30" s="11"/>
    </row>
    <row r="31" spans="1:16" x14ac:dyDescent="0.25">
      <c r="A31" s="2" t="s">
        <v>8</v>
      </c>
      <c r="I31" s="38"/>
      <c r="J31" s="11"/>
      <c r="K31" s="11"/>
      <c r="L31" s="11"/>
      <c r="M31" s="11"/>
      <c r="N31" s="11"/>
      <c r="O31" s="11"/>
      <c r="P31" s="11"/>
    </row>
    <row r="32" spans="1:16" x14ac:dyDescent="0.25">
      <c r="I32" s="38"/>
      <c r="J32" s="11"/>
      <c r="K32" s="11"/>
      <c r="L32" s="11"/>
      <c r="M32" s="11"/>
      <c r="N32" s="11"/>
      <c r="O32" s="11"/>
      <c r="P32" s="11"/>
    </row>
    <row r="33" spans="1:16" x14ac:dyDescent="0.25">
      <c r="A33" s="11" t="s">
        <v>34</v>
      </c>
      <c r="B33" s="11"/>
      <c r="I33" s="38"/>
      <c r="J33" s="11"/>
      <c r="K33" s="11"/>
      <c r="L33" s="11"/>
      <c r="M33" s="11"/>
      <c r="N33" s="11"/>
      <c r="O33" s="11"/>
      <c r="P33" s="11"/>
    </row>
    <row r="34" spans="1:16" x14ac:dyDescent="0.25">
      <c r="A34" s="11"/>
      <c r="B34" s="11"/>
      <c r="I34" s="38"/>
      <c r="J34" s="11"/>
      <c r="K34" s="11"/>
      <c r="L34" s="11"/>
      <c r="M34" s="11"/>
      <c r="N34" s="11"/>
      <c r="O34" s="11"/>
      <c r="P34" s="11"/>
    </row>
    <row r="35" spans="1:16" x14ac:dyDescent="0.25">
      <c r="A35" s="92" t="s">
        <v>39</v>
      </c>
      <c r="B35" s="92"/>
      <c r="C35" s="92"/>
      <c r="D35" s="92"/>
      <c r="E35" s="12" t="s">
        <v>3</v>
      </c>
      <c r="I35" s="38"/>
      <c r="J35" s="11"/>
      <c r="K35" s="11"/>
      <c r="L35" s="11"/>
      <c r="M35" s="11"/>
      <c r="N35" s="11"/>
      <c r="O35" s="11"/>
      <c r="P35" s="11"/>
    </row>
    <row r="36" spans="1:16" ht="18.75" x14ac:dyDescent="0.35">
      <c r="A36" s="92" t="s">
        <v>35</v>
      </c>
      <c r="B36" s="92"/>
      <c r="C36" s="92"/>
      <c r="D36" s="92"/>
      <c r="E36" s="14">
        <f>E14*E13</f>
        <v>480</v>
      </c>
      <c r="I36" s="38"/>
      <c r="J36" s="11"/>
      <c r="K36" s="11"/>
      <c r="L36" s="11"/>
      <c r="M36" s="11"/>
      <c r="N36" s="11"/>
      <c r="O36" s="11"/>
      <c r="P36" s="11"/>
    </row>
    <row r="37" spans="1:16" ht="18.75" x14ac:dyDescent="0.35">
      <c r="A37" s="92" t="s">
        <v>36</v>
      </c>
      <c r="B37" s="92"/>
      <c r="C37" s="92"/>
      <c r="D37" s="92"/>
      <c r="E37" s="14">
        <f>E15*E13</f>
        <v>39</v>
      </c>
      <c r="I37" s="38"/>
      <c r="J37" s="11"/>
      <c r="K37" s="11"/>
      <c r="L37" s="11"/>
      <c r="M37" s="11"/>
      <c r="N37" s="11"/>
      <c r="O37" s="11"/>
      <c r="P37" s="11"/>
    </row>
    <row r="38" spans="1:16" ht="18.75" x14ac:dyDescent="0.35">
      <c r="A38" s="92" t="s">
        <v>38</v>
      </c>
      <c r="B38" s="92"/>
      <c r="C38" s="92"/>
      <c r="D38" s="92"/>
      <c r="E38" s="37">
        <f>E21</f>
        <v>18.399999999999999</v>
      </c>
      <c r="I38" s="38"/>
      <c r="J38" s="11"/>
      <c r="K38" s="11"/>
      <c r="L38" s="11"/>
      <c r="M38" s="11"/>
      <c r="N38" s="11"/>
      <c r="O38" s="11"/>
      <c r="P38" s="11"/>
    </row>
    <row r="39" spans="1:16" x14ac:dyDescent="0.25">
      <c r="A39" s="92" t="s">
        <v>37</v>
      </c>
      <c r="B39" s="92"/>
      <c r="C39" s="92"/>
      <c r="D39" s="92"/>
      <c r="E39" s="14">
        <f>SUM(E36:E38)</f>
        <v>537.4</v>
      </c>
      <c r="I39" s="38"/>
      <c r="J39" s="11"/>
      <c r="K39" s="11"/>
      <c r="L39" s="11"/>
      <c r="M39" s="11"/>
      <c r="N39" s="11"/>
      <c r="O39" s="11"/>
      <c r="P39" s="11"/>
    </row>
    <row r="40" spans="1:16" x14ac:dyDescent="0.25">
      <c r="I40" s="38"/>
      <c r="J40" s="11"/>
      <c r="K40" s="11"/>
      <c r="L40" s="11"/>
      <c r="M40" s="11"/>
      <c r="N40" s="11"/>
      <c r="O40" s="11"/>
      <c r="P40" s="11"/>
    </row>
    <row r="41" spans="1:16" x14ac:dyDescent="0.25">
      <c r="A41" s="2" t="s">
        <v>267</v>
      </c>
      <c r="I41" s="80"/>
      <c r="J41" s="11"/>
      <c r="K41" s="11"/>
      <c r="L41" s="11"/>
      <c r="M41" s="11"/>
      <c r="N41" s="11"/>
      <c r="O41" s="11"/>
      <c r="P41" s="11"/>
    </row>
    <row r="42" spans="1:16" x14ac:dyDescent="0.25">
      <c r="I42" s="80"/>
      <c r="J42" s="11"/>
      <c r="K42" s="11"/>
      <c r="L42" s="11"/>
      <c r="M42" s="11"/>
      <c r="N42" s="11"/>
      <c r="O42" s="11"/>
      <c r="P42" s="11"/>
    </row>
    <row r="43" spans="1:16" x14ac:dyDescent="0.25">
      <c r="A43" s="2" t="s">
        <v>25</v>
      </c>
      <c r="I43" s="38"/>
      <c r="J43" s="11"/>
      <c r="K43" s="11"/>
      <c r="L43" s="11"/>
      <c r="M43" s="11"/>
      <c r="N43" s="11"/>
      <c r="O43" s="11"/>
      <c r="P43" s="11"/>
    </row>
    <row r="44" spans="1:16" ht="301.5" customHeight="1" x14ac:dyDescent="0.25">
      <c r="I44" s="38"/>
      <c r="J44" s="11"/>
      <c r="K44" s="11"/>
      <c r="L44" s="11"/>
      <c r="M44" s="11"/>
      <c r="N44" s="11"/>
      <c r="O44" s="11"/>
      <c r="P44" s="11"/>
    </row>
    <row r="45" spans="1:16" ht="108" customHeight="1" x14ac:dyDescent="0.25">
      <c r="I45" s="38"/>
      <c r="J45" s="11"/>
      <c r="K45" s="11"/>
      <c r="L45" s="11"/>
      <c r="M45" s="11"/>
      <c r="N45" s="11"/>
      <c r="O45" s="11"/>
      <c r="P45" s="11"/>
    </row>
    <row r="46" spans="1:16" ht="102.75" customHeight="1" x14ac:dyDescent="0.25">
      <c r="I46" s="38"/>
      <c r="J46" s="11"/>
      <c r="K46" s="11"/>
      <c r="L46" s="11"/>
      <c r="M46" s="11"/>
      <c r="N46" s="11"/>
      <c r="O46" s="11"/>
      <c r="P46" s="11"/>
    </row>
    <row r="47" spans="1:16" ht="34.5" customHeight="1" x14ac:dyDescent="0.3">
      <c r="A47" s="111" t="s">
        <v>237</v>
      </c>
      <c r="B47" s="111"/>
      <c r="C47" s="111"/>
      <c r="D47" s="111"/>
      <c r="E47" s="111"/>
      <c r="F47" s="111"/>
      <c r="G47" s="111"/>
      <c r="I47" s="38"/>
      <c r="J47" s="11"/>
      <c r="K47" s="11"/>
      <c r="L47" s="11"/>
      <c r="M47" s="11"/>
      <c r="N47" s="11"/>
      <c r="O47" s="11"/>
      <c r="P47" s="11"/>
    </row>
    <row r="48" spans="1:16" ht="16.5" x14ac:dyDescent="0.3">
      <c r="B48" s="4"/>
      <c r="I48" s="38"/>
      <c r="J48" s="11"/>
      <c r="K48" s="11"/>
      <c r="L48" s="11"/>
      <c r="M48" s="11"/>
      <c r="N48" s="11"/>
      <c r="O48" s="11"/>
      <c r="P48" s="11"/>
    </row>
    <row r="49" spans="3:19" x14ac:dyDescent="0.25">
      <c r="I49" s="38"/>
      <c r="J49" s="11"/>
      <c r="K49" s="11"/>
      <c r="L49" s="11"/>
      <c r="M49" s="11"/>
      <c r="N49" s="11"/>
      <c r="O49" s="11"/>
      <c r="P49" s="11"/>
    </row>
    <row r="50" spans="3:19" x14ac:dyDescent="0.25">
      <c r="I50" s="38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3:19" x14ac:dyDescent="0.25">
      <c r="I51" s="38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3:19" x14ac:dyDescent="0.25"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3:19" x14ac:dyDescent="0.25"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3:19" x14ac:dyDescent="0.25"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3:19" x14ac:dyDescent="0.25"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3:19" x14ac:dyDescent="0.25"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3:19" x14ac:dyDescent="0.25"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3:19" ht="16.5" x14ac:dyDescent="0.3">
      <c r="C58" s="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3:19" x14ac:dyDescent="0.25"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3:19" x14ac:dyDescent="0.25"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3:19" x14ac:dyDescent="0.25"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3:19" x14ac:dyDescent="0.25"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3:19" x14ac:dyDescent="0.25"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3:19" x14ac:dyDescent="0.2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x14ac:dyDescent="0.2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49.5" customHeight="1" x14ac:dyDescent="0.3">
      <c r="A66" s="111" t="s">
        <v>238</v>
      </c>
      <c r="B66" s="111"/>
      <c r="C66" s="111"/>
      <c r="D66" s="111"/>
      <c r="E66" s="111"/>
      <c r="F66" s="111"/>
      <c r="G66" s="1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2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2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x14ac:dyDescent="0.25"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x14ac:dyDescent="0.25"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x14ac:dyDescent="0.25"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x14ac:dyDescent="0.25"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25"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25"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25"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x14ac:dyDescent="0.25"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x14ac:dyDescent="0.25"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x14ac:dyDescent="0.25"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x14ac:dyDescent="0.25"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x14ac:dyDescent="0.25"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x14ac:dyDescent="0.25"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x14ac:dyDescent="0.25"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20" customHeight="1" x14ac:dyDescent="0.25"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32.25" customHeight="1" x14ac:dyDescent="0.25">
      <c r="A84" s="93" t="s">
        <v>13</v>
      </c>
      <c r="B84" s="93"/>
      <c r="C84" s="93"/>
      <c r="D84" s="93"/>
      <c r="E84" s="93"/>
      <c r="F84" s="93"/>
      <c r="G84" s="93"/>
      <c r="I84" s="11"/>
      <c r="J84" s="116"/>
      <c r="K84" s="116"/>
      <c r="L84" s="116"/>
      <c r="M84" s="116"/>
      <c r="N84" s="116"/>
      <c r="O84" s="116"/>
      <c r="P84" s="116"/>
      <c r="Q84" s="116"/>
      <c r="R84" s="11"/>
      <c r="S84" s="11"/>
    </row>
    <row r="85" spans="1:19" ht="15.75" customHeight="1" x14ac:dyDescent="0.25">
      <c r="I85" s="11"/>
      <c r="J85" s="116"/>
      <c r="K85" s="116"/>
      <c r="L85" s="116"/>
      <c r="M85" s="116"/>
      <c r="N85" s="116"/>
      <c r="O85" s="116"/>
      <c r="P85" s="116"/>
      <c r="Q85" s="116"/>
      <c r="R85" s="11"/>
      <c r="S85" s="11"/>
    </row>
    <row r="86" spans="1:19" x14ac:dyDescent="0.25">
      <c r="B86"/>
      <c r="C86" s="5"/>
      <c r="I86" s="11"/>
      <c r="J86" s="86"/>
      <c r="K86" s="87"/>
      <c r="L86" s="87"/>
      <c r="M86" s="87"/>
      <c r="N86" s="87"/>
      <c r="O86" s="87"/>
      <c r="P86" s="87"/>
      <c r="Q86" s="87"/>
      <c r="R86" s="11"/>
      <c r="S86" s="11"/>
    </row>
    <row r="87" spans="1:19" x14ac:dyDescent="0.25">
      <c r="I87" s="11"/>
      <c r="J87" s="86"/>
      <c r="K87" s="45"/>
      <c r="L87" s="45"/>
      <c r="M87" s="45"/>
      <c r="N87" s="45"/>
      <c r="O87" s="45"/>
      <c r="P87" s="45"/>
      <c r="Q87" s="45"/>
      <c r="R87" s="11"/>
      <c r="S87" s="11"/>
    </row>
    <row r="88" spans="1:19" x14ac:dyDescent="0.25">
      <c r="B88" s="46"/>
      <c r="C88" s="5">
        <f>E39*10*E12*(COS($E$16*PI()/180))/2/1000</f>
        <v>16.033681997127303</v>
      </c>
      <c r="D88" s="2" t="s">
        <v>14</v>
      </c>
      <c r="I88" s="11"/>
      <c r="J88" s="38"/>
      <c r="K88" s="58"/>
      <c r="L88" s="58"/>
      <c r="M88" s="58"/>
      <c r="N88" s="58"/>
      <c r="O88" s="58"/>
      <c r="P88" s="58"/>
      <c r="Q88" s="58"/>
      <c r="R88" s="11"/>
      <c r="S88" s="11"/>
    </row>
    <row r="89" spans="1:19" x14ac:dyDescent="0.25">
      <c r="I89" s="11"/>
      <c r="J89" s="38"/>
      <c r="K89" s="58"/>
      <c r="L89" s="58"/>
      <c r="M89" s="58"/>
      <c r="N89" s="58"/>
      <c r="O89" s="58"/>
      <c r="P89" s="58"/>
      <c r="Q89" s="58"/>
      <c r="R89" s="11"/>
      <c r="S89" s="11"/>
    </row>
    <row r="90" spans="1:19" ht="18.75" customHeight="1" x14ac:dyDescent="0.25">
      <c r="B90"/>
      <c r="E90" s="2" t="s">
        <v>246</v>
      </c>
      <c r="I90" s="11"/>
      <c r="J90" s="38"/>
      <c r="K90" s="58"/>
      <c r="L90" s="58"/>
      <c r="M90" s="58"/>
      <c r="N90" s="58"/>
      <c r="O90" s="58"/>
      <c r="P90" s="58"/>
      <c r="Q90" s="58"/>
      <c r="R90" s="11"/>
      <c r="S90" s="11"/>
    </row>
    <row r="91" spans="1:19" x14ac:dyDescent="0.25">
      <c r="B91"/>
      <c r="G91"/>
      <c r="I91" s="11"/>
      <c r="J91" s="38"/>
      <c r="K91" s="58"/>
      <c r="L91" s="58"/>
      <c r="M91" s="58"/>
      <c r="N91" s="58"/>
      <c r="O91" s="58"/>
      <c r="P91" s="58"/>
      <c r="Q91" s="58"/>
      <c r="R91" s="11"/>
      <c r="S91" s="11"/>
    </row>
    <row r="92" spans="1:19" x14ac:dyDescent="0.25">
      <c r="C92" s="5">
        <f>3*E39*10*E12*(SIN($E$16*PI()/180))/16/1000</f>
        <v>0.63195295680041574</v>
      </c>
      <c r="D92" s="2" t="s">
        <v>14</v>
      </c>
      <c r="E92" s="2" t="s">
        <v>246</v>
      </c>
      <c r="I92" s="11"/>
      <c r="J92" s="38"/>
      <c r="K92" s="58"/>
      <c r="L92" s="58"/>
      <c r="M92" s="58"/>
      <c r="N92" s="58"/>
      <c r="O92" s="58"/>
      <c r="P92" s="58"/>
      <c r="Q92" s="58"/>
      <c r="R92" s="11"/>
      <c r="S92" s="11"/>
    </row>
    <row r="93" spans="1:19" x14ac:dyDescent="0.25">
      <c r="C93" s="5"/>
      <c r="I93" s="11"/>
      <c r="J93" s="38"/>
      <c r="K93" s="58"/>
      <c r="L93" s="58"/>
      <c r="M93" s="58"/>
      <c r="N93" s="58"/>
      <c r="O93" s="58"/>
      <c r="P93" s="58"/>
      <c r="Q93" s="58"/>
      <c r="R93" s="11"/>
      <c r="S93" s="11"/>
    </row>
    <row r="94" spans="1:19" x14ac:dyDescent="0.25">
      <c r="B94"/>
      <c r="C94" s="5"/>
      <c r="E94" s="2" t="s">
        <v>247</v>
      </c>
      <c r="G94"/>
      <c r="I94" s="11"/>
      <c r="J94" s="38"/>
      <c r="K94" s="58"/>
      <c r="L94" s="58"/>
      <c r="M94" s="58"/>
      <c r="N94" s="58"/>
      <c r="O94" s="58"/>
      <c r="P94" s="58"/>
      <c r="Q94" s="58"/>
      <c r="R94" s="11"/>
      <c r="S94" s="11"/>
    </row>
    <row r="95" spans="1:19" x14ac:dyDescent="0.25">
      <c r="C95" s="5"/>
      <c r="I95" s="11"/>
      <c r="J95" s="38"/>
      <c r="K95" s="58"/>
      <c r="L95" s="58"/>
      <c r="M95" s="58"/>
      <c r="N95" s="58"/>
      <c r="O95" s="58"/>
      <c r="P95" s="58"/>
      <c r="Q95" s="58"/>
      <c r="R95" s="11"/>
      <c r="S95" s="11"/>
    </row>
    <row r="96" spans="1:19" x14ac:dyDescent="0.25">
      <c r="C96" s="5">
        <f>5*E39*10*E12*(SIN($E$16*PI()/180))/8/1000</f>
        <v>2.1065098560013862</v>
      </c>
      <c r="D96" s="2" t="s">
        <v>14</v>
      </c>
      <c r="E96" s="2" t="s">
        <v>247</v>
      </c>
      <c r="I96" s="11"/>
      <c r="J96" s="38"/>
      <c r="K96" s="58"/>
      <c r="L96" s="58"/>
      <c r="M96" s="58"/>
      <c r="N96" s="58"/>
      <c r="O96" s="58"/>
      <c r="P96" s="58"/>
      <c r="Q96" s="58"/>
      <c r="R96" s="11"/>
      <c r="S96" s="11"/>
    </row>
    <row r="97" spans="1:19" x14ac:dyDescent="0.25">
      <c r="B97"/>
      <c r="I97" s="11"/>
      <c r="J97" s="38"/>
      <c r="K97" s="58"/>
      <c r="L97" s="58"/>
      <c r="M97" s="58"/>
      <c r="N97" s="58"/>
      <c r="O97" s="58"/>
      <c r="P97" s="58"/>
      <c r="Q97" s="58"/>
      <c r="R97" s="11"/>
      <c r="S97" s="11"/>
    </row>
    <row r="98" spans="1:19" x14ac:dyDescent="0.25">
      <c r="B98"/>
      <c r="I98" s="11"/>
      <c r="J98" s="38"/>
      <c r="K98" s="58"/>
      <c r="L98" s="58"/>
      <c r="M98" s="58"/>
      <c r="N98" s="58"/>
      <c r="O98" s="58"/>
      <c r="P98" s="58"/>
      <c r="Q98" s="58"/>
      <c r="R98" s="11"/>
      <c r="S98" s="11"/>
    </row>
    <row r="99" spans="1:19" ht="14.25" customHeight="1" x14ac:dyDescent="0.25">
      <c r="I99" s="11"/>
      <c r="J99" s="38"/>
      <c r="K99" s="58"/>
      <c r="L99" s="58"/>
      <c r="M99" s="58"/>
      <c r="N99" s="58"/>
      <c r="O99" s="58"/>
      <c r="P99" s="58"/>
      <c r="Q99" s="58"/>
      <c r="R99" s="11"/>
      <c r="S99" s="11"/>
    </row>
    <row r="100" spans="1:19" x14ac:dyDescent="0.25">
      <c r="B100"/>
      <c r="C100" s="5">
        <f>E39*10*E12^2*(COS($E$16*PI()/180))/8/1000</f>
        <v>24.050522995690955</v>
      </c>
      <c r="D100" s="2" t="s">
        <v>15</v>
      </c>
      <c r="I100" s="11"/>
      <c r="J100" s="38"/>
      <c r="K100" s="58"/>
      <c r="L100" s="58"/>
      <c r="M100" s="58"/>
      <c r="N100" s="58"/>
      <c r="O100" s="58"/>
      <c r="P100" s="58"/>
      <c r="Q100" s="58"/>
      <c r="R100" s="11"/>
      <c r="S100" s="11"/>
    </row>
    <row r="101" spans="1:19" x14ac:dyDescent="0.25">
      <c r="I101" s="11"/>
      <c r="J101" s="38"/>
      <c r="K101" s="58"/>
      <c r="L101" s="58"/>
      <c r="M101" s="58"/>
      <c r="N101" s="58"/>
      <c r="O101" s="58"/>
      <c r="P101" s="58"/>
      <c r="Q101" s="58"/>
      <c r="R101" s="11"/>
      <c r="S101" s="11"/>
    </row>
    <row r="102" spans="1:19" x14ac:dyDescent="0.25">
      <c r="B102"/>
      <c r="C102"/>
      <c r="I102" s="11"/>
      <c r="J102" s="38"/>
      <c r="K102" s="58"/>
      <c r="L102" s="58"/>
      <c r="M102" s="58"/>
      <c r="N102" s="58"/>
      <c r="O102" s="58"/>
      <c r="P102" s="58"/>
      <c r="Q102" s="58"/>
      <c r="R102" s="11"/>
      <c r="S102" s="11"/>
    </row>
    <row r="103" spans="1:19" x14ac:dyDescent="0.25">
      <c r="I103" s="11"/>
      <c r="J103" s="38"/>
      <c r="K103" s="58"/>
      <c r="L103" s="58"/>
      <c r="M103" s="58"/>
      <c r="N103" s="58"/>
      <c r="O103" s="58"/>
      <c r="P103" s="58"/>
      <c r="Q103" s="58"/>
      <c r="R103" s="11"/>
      <c r="S103" s="11"/>
    </row>
    <row r="104" spans="1:19" x14ac:dyDescent="0.25">
      <c r="B104"/>
      <c r="C104" s="5">
        <f>E39*10*E12^2*(SIN($E$16*PI()/180))/32/1000</f>
        <v>0.63195295680041585</v>
      </c>
      <c r="D104" s="2" t="s">
        <v>15</v>
      </c>
      <c r="I104" s="11"/>
      <c r="J104" s="38"/>
      <c r="K104" s="58"/>
      <c r="L104" s="58"/>
      <c r="M104" s="58"/>
      <c r="N104" s="58"/>
      <c r="O104" s="58"/>
      <c r="P104" s="58"/>
      <c r="Q104" s="58"/>
      <c r="R104" s="11"/>
      <c r="S104" s="11"/>
    </row>
    <row r="105" spans="1:19" ht="33.75" customHeight="1" thickBot="1" x14ac:dyDescent="0.3">
      <c r="B105"/>
      <c r="C105" s="5"/>
      <c r="I105" s="11"/>
      <c r="J105" s="80"/>
      <c r="K105" s="58"/>
      <c r="L105" s="58"/>
      <c r="M105" s="58"/>
      <c r="N105" s="58"/>
      <c r="O105" s="58"/>
      <c r="P105" s="58"/>
      <c r="Q105" s="58"/>
      <c r="R105" s="11"/>
      <c r="S105" s="11"/>
    </row>
    <row r="106" spans="1:19" ht="15.75" customHeight="1" x14ac:dyDescent="0.25">
      <c r="I106" s="11"/>
      <c r="J106" s="120" t="s">
        <v>248</v>
      </c>
      <c r="K106" s="121"/>
      <c r="L106" s="121"/>
      <c r="M106" s="121"/>
      <c r="N106" s="121"/>
      <c r="O106" s="121"/>
      <c r="P106" s="121"/>
      <c r="Q106" s="122"/>
      <c r="R106" s="11"/>
      <c r="S106" s="11"/>
    </row>
    <row r="107" spans="1:19" ht="15.75" customHeight="1" x14ac:dyDescent="0.25">
      <c r="A107" s="93" t="s">
        <v>22</v>
      </c>
      <c r="B107" s="93"/>
      <c r="C107" s="93"/>
      <c r="D107" s="93"/>
      <c r="E107" s="93"/>
      <c r="F107" s="93"/>
      <c r="G107" s="93"/>
      <c r="I107" s="11"/>
      <c r="J107" s="123"/>
      <c r="K107" s="116"/>
      <c r="L107" s="116"/>
      <c r="M107" s="116"/>
      <c r="N107" s="116"/>
      <c r="O107" s="116"/>
      <c r="P107" s="116"/>
      <c r="Q107" s="124"/>
      <c r="R107" s="11"/>
      <c r="S107" s="11"/>
    </row>
    <row r="108" spans="1:19" ht="16.5" thickBot="1" x14ac:dyDescent="0.3">
      <c r="I108" s="11"/>
      <c r="J108" s="125"/>
      <c r="K108" s="126"/>
      <c r="L108" s="126"/>
      <c r="M108" s="126"/>
      <c r="N108" s="126"/>
      <c r="O108" s="126"/>
      <c r="P108" s="126"/>
      <c r="Q108" s="127"/>
      <c r="R108" s="11"/>
      <c r="S108" s="11"/>
    </row>
    <row r="109" spans="1:19" x14ac:dyDescent="0.25">
      <c r="B109"/>
      <c r="I109" s="11"/>
      <c r="J109" s="117" t="s">
        <v>233</v>
      </c>
      <c r="K109" s="118" t="s">
        <v>234</v>
      </c>
      <c r="L109" s="118"/>
      <c r="M109" s="118"/>
      <c r="N109" s="118"/>
      <c r="O109" s="118"/>
      <c r="P109" s="118"/>
      <c r="Q109" s="119"/>
      <c r="R109" s="11"/>
      <c r="S109" s="11"/>
    </row>
    <row r="110" spans="1:19" ht="16.5" thickBot="1" x14ac:dyDescent="0.3">
      <c r="I110" s="11"/>
      <c r="J110" s="98"/>
      <c r="K110" s="42">
        <v>0</v>
      </c>
      <c r="L110" s="42">
        <v>5</v>
      </c>
      <c r="M110" s="42">
        <v>10</v>
      </c>
      <c r="N110" s="42">
        <v>15</v>
      </c>
      <c r="O110" s="42">
        <v>20</v>
      </c>
      <c r="P110" s="42">
        <v>25</v>
      </c>
      <c r="Q110" s="43">
        <v>30</v>
      </c>
      <c r="R110" s="11"/>
      <c r="S110" s="11"/>
    </row>
    <row r="111" spans="1:19" x14ac:dyDescent="0.25">
      <c r="I111" s="11"/>
      <c r="J111" s="39" t="s">
        <v>72</v>
      </c>
      <c r="K111" s="53">
        <f>(8*$E$17*$E$19/($E$12^2))/(COS(K$110*PI()/180)/(INDEX('Геом. характеристики швеллера'!$K$6:$K$41,MATCH('без учета бимомента,один тяж'!$J111,'Геом. характеристики швеллера'!$A$6:$A$41,0)))+SIN(K$110*PI()/180)/(4*INDEX('Геом. характеристики швеллера'!$O$6:$O$41,MATCH('без учета бимомента,один тяж'!$J111,'Геом. характеристики швеллера'!$A$6:$A$41,0))))/10-INDEX('Геом. характеристики швеллера'!$I$6:$I$41,MATCH('без учета бимомента,один тяж'!$J111,'Геом. характеристики швеллера'!$A$6:$A$41,0))</f>
        <v>38.840000000000003</v>
      </c>
      <c r="L111" s="53">
        <f>(8*$E$17*$E$19/($E$12^2))/(COS(L$110*PI()/180)/(INDEX('Геом. характеристики швеллера'!$K$6:$K$41,MATCH('без учета бимомента,один тяж'!$J111,'Геом. характеристики швеллера'!$A$6:$A$41,0)))+SIN(L$110*PI()/180)/(4*INDEX('Геом. характеристики швеллера'!$O$6:$O$41,MATCH('без учета бимомента,один тяж'!$J111,'Геом. характеристики швеллера'!$A$6:$A$41,0))))/10-INDEX('Геом. характеристики швеллера'!$I$6:$I$41,MATCH('без учета бимомента,один тяж'!$J111,'Геом. характеристики швеллера'!$A$6:$A$41,0))</f>
        <v>36.047534053542691</v>
      </c>
      <c r="M111" s="53">
        <f>(8*$E$17*$E$19/($E$12^2))/(COS(M$110*PI()/180)/(INDEX('Геом. характеристики швеллера'!$K$6:$K$41,MATCH('без учета бимомента,один тяж'!$J111,'Геом. характеристики швеллера'!$A$6:$A$41,0)))+SIN(M$110*PI()/180)/(4*INDEX('Геом. характеристики швеллера'!$O$6:$O$41,MATCH('без учета бимомента,один тяж'!$J111,'Геом. характеристики швеллера'!$A$6:$A$41,0))))/10-INDEX('Геом. характеристики швеллера'!$I$6:$I$41,MATCH('без учета бимомента,один тяж'!$J111,'Геом. характеристики швеллера'!$A$6:$A$41,0))</f>
        <v>33.867545330073042</v>
      </c>
      <c r="N111" s="53">
        <f>(8*$E$17*$E$19/($E$12^2))/(COS(N$110*PI()/180)/(INDEX('Геом. характеристики швеллера'!$K$6:$K$41,MATCH('без учета бимомента,один тяж'!$J111,'Геом. характеристики швеллера'!$A$6:$A$41,0)))+SIN(N$110*PI()/180)/(4*INDEX('Геом. характеристики швеллера'!$O$6:$O$41,MATCH('без учета бимомента,один тяж'!$J111,'Геом. характеристики швеллера'!$A$6:$A$41,0))))/10-INDEX('Геом. характеристики швеллера'!$I$6:$I$41,MATCH('без учета бимомента,один тяж'!$J111,'Геом. характеристики швеллера'!$A$6:$A$41,0))</f>
        <v>32.17570179864174</v>
      </c>
      <c r="O111" s="53">
        <f>(8*$E$17*$E$19/($E$12^2))/(COS(O$110*PI()/180)/(INDEX('Геом. характеристики швеллера'!$K$6:$K$41,MATCH('без учета бимомента,один тяж'!$J111,'Геом. характеристики швеллера'!$A$6:$A$41,0)))+SIN(O$110*PI()/180)/(4*INDEX('Геом. характеристики швеллера'!$O$6:$O$41,MATCH('без учета бимомента,один тяж'!$J111,'Геом. характеристики швеллера'!$A$6:$A$41,0))))/10-INDEX('Геом. характеристики швеллера'!$I$6:$I$41,MATCH('без учета бимомента,один тяж'!$J111,'Геом. характеристики швеллера'!$A$6:$A$41,0))</f>
        <v>30.886070622318204</v>
      </c>
      <c r="P111" s="53">
        <f>(8*$E$17*$E$19/($E$12^2))/(COS(P$110*PI()/180)/(INDEX('Геом. характеристики швеллера'!$K$6:$K$41,MATCH('без учета бимомента,один тяж'!$J111,'Геом. характеристики швеллера'!$A$6:$A$41,0)))+SIN(P$110*PI()/180)/(4*INDEX('Геом. характеристики швеллера'!$O$6:$O$41,MATCH('без учета бимомента,один тяж'!$J111,'Геом. характеристики швеллера'!$A$6:$A$41,0))))/10-INDEX('Геом. характеристики швеллера'!$I$6:$I$41,MATCH('без учета бимомента,один тяж'!$J111,'Геом. характеристики швеллера'!$A$6:$A$41,0))</f>
        <v>29.939054102894584</v>
      </c>
      <c r="Q111" s="54">
        <f>(8*$E$17*$E$19/($E$12^2))/(COS(Q$110*PI()/180)/(INDEX('Геом. характеристики швеллера'!$K$6:$K$41,MATCH('без учета бимомента,один тяж'!$J111,'Геом. характеристики швеллера'!$A$6:$A$41,0)))+SIN(Q$110*PI()/180)/(4*INDEX('Геом. характеристики швеллера'!$O$6:$O$41,MATCH('без учета бимомента,один тяж'!$J111,'Геом. характеристики швеллера'!$A$6:$A$41,0))))/10-INDEX('Геом. характеристики швеллера'!$I$6:$I$41,MATCH('без учета бимомента,один тяж'!$J111,'Геом. характеристики швеллера'!$A$6:$A$41,0))</f>
        <v>29.294019716818124</v>
      </c>
      <c r="R111" s="11"/>
      <c r="S111" s="11"/>
    </row>
    <row r="112" spans="1:19" x14ac:dyDescent="0.25">
      <c r="B112"/>
      <c r="D112" s="2">
        <f>C100*1000/(E28*E17*E19)+C104*1000/(E29*E17*E19)</f>
        <v>0.84384471778648529</v>
      </c>
      <c r="E112" s="115" t="str">
        <f>IF(D112&lt;1,"Условия прочности обеспечены","Условия прочности не обеспечены")</f>
        <v>Условия прочности обеспечены</v>
      </c>
      <c r="F112" s="115"/>
      <c r="G112" s="115"/>
      <c r="I112" s="11"/>
      <c r="J112" s="40" t="s">
        <v>73</v>
      </c>
      <c r="K112" s="50">
        <f>(8*$E$17*$E$19/($E$12^2))/(COS(K$110*PI()/180)/(INDEX('Геом. характеристики швеллера'!$K$6:$K$41,MATCH('без учета бимомента,один тяж'!$J112,'Геом. характеристики швеллера'!$A$6:$A$41,0)))+SIN(K$110*PI()/180)/(4*INDEX('Геом. характеристики швеллера'!$O$6:$O$41,MATCH('без учета бимомента,один тяж'!$J112,'Геом. характеристики швеллера'!$A$6:$A$41,0))))/10-INDEX('Геом. характеристики швеллера'!$I$6:$I$41,MATCH('без учета бимомента,один тяж'!$J112,'Геом. характеристики швеллера'!$A$6:$A$41,0))</f>
        <v>66.099999999999994</v>
      </c>
      <c r="L112" s="50">
        <f>(8*$E$17*$E$19/($E$12^2))/(COS(L$110*PI()/180)/(INDEX('Геом. характеристики швеллера'!$K$6:$K$41,MATCH('без учета бимомента,один тяж'!$J112,'Геом. характеристики швеллера'!$A$6:$A$41,0)))+SIN(L$110*PI()/180)/(4*INDEX('Геом. характеристики швеллера'!$O$6:$O$41,MATCH('без учета бимомента,один тяж'!$J112,'Геом. характеристики швеллера'!$A$6:$A$41,0))))/10-INDEX('Геом. характеристики швеллера'!$I$6:$I$41,MATCH('без учета бимомента,один тяж'!$J112,'Геом. характеристики швеллера'!$A$6:$A$41,0))</f>
        <v>60.458939701726869</v>
      </c>
      <c r="M112" s="50">
        <f>(8*$E$17*$E$19/($E$12^2))/(COS(M$110*PI()/180)/(INDEX('Геом. характеристики швеллера'!$K$6:$K$41,MATCH('без учета бимомента,один тяж'!$J112,'Геом. характеристики швеллера'!$A$6:$A$41,0)))+SIN(M$110*PI()/180)/(4*INDEX('Геом. характеристики швеллера'!$O$6:$O$41,MATCH('без учета бимомента,один тяж'!$J112,'Геом. характеристики швеллера'!$A$6:$A$41,0))))/10-INDEX('Геом. характеристики швеллера'!$I$6:$I$41,MATCH('без учета бимомента,один тяж'!$J112,'Геом. характеристики швеллера'!$A$6:$A$41,0))</f>
        <v>56.074986806716041</v>
      </c>
      <c r="N112" s="50">
        <f>(8*$E$17*$E$19/($E$12^2))/(COS(N$110*PI()/180)/(INDEX('Геом. характеристики швеллера'!$K$6:$K$41,MATCH('без учета бимомента,один тяж'!$J112,'Геом. характеристики швеллера'!$A$6:$A$41,0)))+SIN(N$110*PI()/180)/(4*INDEX('Геом. характеристики швеллера'!$O$6:$O$41,MATCH('без учета бимомента,один тяж'!$J112,'Геом. характеристики швеллера'!$A$6:$A$41,0))))/10-INDEX('Геом. характеристики швеллера'!$I$6:$I$41,MATCH('без учета бимомента,один тяж'!$J112,'Геом. характеристики швеллера'!$A$6:$A$41,0))</f>
        <v>52.652386905671392</v>
      </c>
      <c r="O112" s="50">
        <f>(8*$E$17*$E$19/($E$12^2))/(COS(O$110*PI()/180)/(INDEX('Геом. характеристики швеллера'!$K$6:$K$41,MATCH('без учета бимомента,один тяж'!$J112,'Геом. характеристики швеллера'!$A$6:$A$41,0)))+SIN(O$110*PI()/180)/(4*INDEX('Геом. характеристики швеллера'!$O$6:$O$41,MATCH('без учета бимомента,один тяж'!$J112,'Геом. характеристики швеллера'!$A$6:$A$41,0))))/10-INDEX('Геом. характеристики швеллера'!$I$6:$I$41,MATCH('без учета бимомента,один тяж'!$J112,'Геом. характеристики швеллера'!$A$6:$A$41,0))</f>
        <v>49.991136025323065</v>
      </c>
      <c r="P112" s="50">
        <f>(8*$E$17*$E$19/($E$12^2))/(COS(P$110*PI()/180)/(INDEX('Геом. характеристики швеллера'!$K$6:$K$41,MATCH('без учета бимомента,один тяж'!$J112,'Геом. характеристики швеллера'!$A$6:$A$41,0)))+SIN(P$110*PI()/180)/(4*INDEX('Геом. характеристики швеллера'!$O$6:$O$41,MATCH('без учета бимомента,один тяж'!$J112,'Геом. характеристики швеллера'!$A$6:$A$41,0))))/10-INDEX('Геом. характеристики швеллера'!$I$6:$I$41,MATCH('без учета бимомента,один тяж'!$J112,'Геом. характеристики швеллера'!$A$6:$A$41,0))</f>
        <v>47.953317708323674</v>
      </c>
      <c r="Q112" s="55">
        <f>(8*$E$17*$E$19/($E$12^2))/(COS(Q$110*PI()/180)/(INDEX('Геом. характеристики швеллера'!$K$6:$K$41,MATCH('без учета бимомента,один тяж'!$J112,'Геом. характеристики швеллера'!$A$6:$A$41,0)))+SIN(Q$110*PI()/180)/(4*INDEX('Геом. характеристики швеллера'!$O$6:$O$41,MATCH('без учета бимомента,один тяж'!$J112,'Геом. характеристики швеллера'!$A$6:$A$41,0))))/10-INDEX('Геом. характеристики швеллера'!$I$6:$I$41,MATCH('без учета бимомента,один тяж'!$J112,'Геом. характеристики швеллера'!$A$6:$A$41,0))</f>
        <v>46.443221618335237</v>
      </c>
      <c r="R112" s="11"/>
      <c r="S112" s="11"/>
    </row>
    <row r="113" spans="1:19" x14ac:dyDescent="0.25">
      <c r="I113" s="11"/>
      <c r="J113" s="40" t="s">
        <v>74</v>
      </c>
      <c r="K113" s="50">
        <f>(8*$E$17*$E$19/($E$12^2))/(COS(K$110*PI()/180)/(INDEX('Геом. характеристики швеллера'!$K$6:$K$41,MATCH('без учета бимомента,один тяж'!$J113,'Геом. характеристики швеллера'!$A$6:$A$41,0)))+SIN(K$110*PI()/180)/(4*INDEX('Геом. характеристики швеллера'!$O$6:$O$41,MATCH('без учета бимомента,один тяж'!$J113,'Геом. характеристики швеллера'!$A$6:$A$41,0))))/10-INDEX('Геом. характеристики швеллера'!$I$6:$I$41,MATCH('без учета бимомента,один тяж'!$J113,'Геом. характеристики швеллера'!$A$6:$A$41,0))</f>
        <v>100.47000000000001</v>
      </c>
      <c r="L113" s="50">
        <f>(8*$E$17*$E$19/($E$12^2))/(COS(L$110*PI()/180)/(INDEX('Геом. характеристики швеллера'!$K$6:$K$41,MATCH('без учета бимомента,один тяж'!$J113,'Геом. характеристики швеллера'!$A$6:$A$41,0)))+SIN(L$110*PI()/180)/(4*INDEX('Геом. характеристики швеллера'!$O$6:$O$41,MATCH('без учета бимомента,один тяж'!$J113,'Геом. характеристики швеллера'!$A$6:$A$41,0))))/10-INDEX('Геом. характеристики швеллера'!$I$6:$I$41,MATCH('без учета бимомента,один тяж'!$J113,'Геом. характеристики швеллера'!$A$6:$A$41,0))</f>
        <v>90.78913715168953</v>
      </c>
      <c r="M113" s="50">
        <f>(8*$E$17*$E$19/($E$12^2))/(COS(M$110*PI()/180)/(INDEX('Геом. характеристики швеллера'!$K$6:$K$41,MATCH('без учета бимомента,один тяж'!$J113,'Геом. характеристики швеллера'!$A$6:$A$41,0)))+SIN(M$110*PI()/180)/(4*INDEX('Геом. характеристики швеллера'!$O$6:$O$41,MATCH('без учета бимомента,один тяж'!$J113,'Геом. характеристики швеллера'!$A$6:$A$41,0))))/10-INDEX('Геом. характеристики швеллера'!$I$6:$I$41,MATCH('без учета бимомента,один тяж'!$J113,'Геом. характеристики швеллера'!$A$6:$A$41,0))</f>
        <v>83.338654941467311</v>
      </c>
      <c r="N113" s="50">
        <f>(8*$E$17*$E$19/($E$12^2))/(COS(N$110*PI()/180)/(INDEX('Геом. характеристики швеллера'!$K$6:$K$41,MATCH('без учета бимомента,один тяж'!$J113,'Геом. характеристики швеллера'!$A$6:$A$41,0)))+SIN(N$110*PI()/180)/(4*INDEX('Геом. характеристики швеллера'!$O$6:$O$41,MATCH('без учета бимомента,один тяж'!$J113,'Геом. характеристики швеллера'!$A$6:$A$41,0))))/10-INDEX('Геом. характеристики швеллера'!$I$6:$I$41,MATCH('без учета бимомента,один тяж'!$J113,'Геом. характеристики швеллера'!$A$6:$A$41,0))</f>
        <v>77.540823389313005</v>
      </c>
      <c r="O113" s="50">
        <f>(8*$E$17*$E$19/($E$12^2))/(COS(O$110*PI()/180)/(INDEX('Геом. характеристики швеллера'!$K$6:$K$41,MATCH('без учета бимомента,один тяж'!$J113,'Геом. характеристики швеллера'!$A$6:$A$41,0)))+SIN(O$110*PI()/180)/(4*INDEX('Геом. характеристики швеллера'!$O$6:$O$41,MATCH('без учета бимомента,один тяж'!$J113,'Геом. характеристики швеллера'!$A$6:$A$41,0))))/10-INDEX('Геом. характеристики швеллера'!$I$6:$I$41,MATCH('без учета бимомента,один тяж'!$J113,'Геом. характеристики швеллера'!$A$6:$A$41,0))</f>
        <v>73.014553910790241</v>
      </c>
      <c r="P113" s="50">
        <f>(8*$E$17*$E$19/($E$12^2))/(COS(P$110*PI()/180)/(INDEX('Геом. характеристики швеллера'!$K$6:$K$41,MATCH('без учета бимомента,один тяж'!$J113,'Геом. характеристики швеллера'!$A$6:$A$41,0)))+SIN(P$110*PI()/180)/(4*INDEX('Геом. характеристики швеллера'!$O$6:$O$41,MATCH('без учета бимомента,один тяж'!$J113,'Геом. характеристики швеллера'!$A$6:$A$41,0))))/10-INDEX('Геом. характеристики швеллера'!$I$6:$I$41,MATCH('без учета бимомента,один тяж'!$J113,'Геом. характеристики швеллера'!$A$6:$A$41,0))</f>
        <v>69.501073703023465</v>
      </c>
      <c r="Q113" s="55">
        <f>(8*$E$17*$E$19/($E$12^2))/(COS(Q$110*PI()/180)/(INDEX('Геом. характеристики швеллера'!$K$6:$K$41,MATCH('без учета бимомента,один тяж'!$J113,'Геом. характеристики швеллера'!$A$6:$A$41,0)))+SIN(Q$110*PI()/180)/(4*INDEX('Геом. характеристики швеллера'!$O$6:$O$41,MATCH('без учета бимомента,один тяж'!$J113,'Геом. характеристики швеллера'!$A$6:$A$41,0))))/10-INDEX('Геом. характеристики швеллера'!$I$6:$I$41,MATCH('без учета бимомента,один тяж'!$J113,'Геом. характеристики швеллера'!$A$6:$A$41,0))</f>
        <v>66.821568101162526</v>
      </c>
      <c r="R113" s="11"/>
      <c r="S113" s="11"/>
    </row>
    <row r="114" spans="1:19" x14ac:dyDescent="0.25">
      <c r="B114"/>
      <c r="I114" s="11"/>
      <c r="J114" s="40" t="s">
        <v>75</v>
      </c>
      <c r="K114" s="50">
        <f>(8*$E$17*$E$19/($E$12^2))/(COS(K$110*PI()/180)/(INDEX('Геом. характеристики швеллера'!$K$6:$K$41,MATCH('без учета бимомента,один тяж'!$J114,'Геом. характеристики швеллера'!$A$6:$A$41,0)))+SIN(K$110*PI()/180)/(4*INDEX('Геом. характеристики швеллера'!$O$6:$O$41,MATCH('без учета бимомента,один тяж'!$J114,'Геом. характеристики швеллера'!$A$6:$A$41,0))))/10-INDEX('Геом. характеристики швеллера'!$I$6:$I$41,MATCH('без учета бимомента,один тяж'!$J114,'Геом. характеристики швеллера'!$A$6:$A$41,0))</f>
        <v>161.44999999999999</v>
      </c>
      <c r="L114" s="50">
        <f>(8*$E$17*$E$19/($E$12^2))/(COS(L$110*PI()/180)/(INDEX('Геом. характеристики швеллера'!$K$6:$K$41,MATCH('без учета бимомента,один тяж'!$J114,'Геом. характеристики швеллера'!$A$6:$A$41,0)))+SIN(L$110*PI()/180)/(4*INDEX('Геом. характеристики швеллера'!$O$6:$O$41,MATCH('без учета бимомента,один тяж'!$J114,'Геом. характеристики швеллера'!$A$6:$A$41,0))))/10-INDEX('Геом. характеристики швеллера'!$I$6:$I$41,MATCH('без учета бимомента,один тяж'!$J114,'Геом. характеристики швеллера'!$A$6:$A$41,0))</f>
        <v>144.4138218674253</v>
      </c>
      <c r="M114" s="50">
        <f>(8*$E$17*$E$19/($E$12^2))/(COS(M$110*PI()/180)/(INDEX('Геом. характеристики швеллера'!$K$6:$K$41,MATCH('без учета бимомента,один тяж'!$J114,'Геом. характеристики швеллера'!$A$6:$A$41,0)))+SIN(M$110*PI()/180)/(4*INDEX('Геом. характеристики швеллера'!$O$6:$O$41,MATCH('без учета бимомента,один тяж'!$J114,'Геом. характеристики швеллера'!$A$6:$A$41,0))))/10-INDEX('Геом. характеристики швеллера'!$I$6:$I$41,MATCH('без учета бимомента,один тяж'!$J114,'Геом. характеристики швеллера'!$A$6:$A$41,0))</f>
        <v>131.47764977965352</v>
      </c>
      <c r="N114" s="50">
        <f>(8*$E$17*$E$19/($E$12^2))/(COS(N$110*PI()/180)/(INDEX('Геом. характеристики швеллера'!$K$6:$K$41,MATCH('без учета бимомента,один тяж'!$J114,'Геом. характеристики швеллера'!$A$6:$A$41,0)))+SIN(N$110*PI()/180)/(4*INDEX('Геом. характеристики швеллера'!$O$6:$O$41,MATCH('без учета бимомента,один тяж'!$J114,'Геом. характеристики швеллера'!$A$6:$A$41,0))))/10-INDEX('Геом. характеристики швеллера'!$I$6:$I$41,MATCH('без учета бимомента,один тяж'!$J114,'Геом. характеристики швеллера'!$A$6:$A$41,0))</f>
        <v>121.48588324539702</v>
      </c>
      <c r="O114" s="50">
        <f>(8*$E$17*$E$19/($E$12^2))/(COS(O$110*PI()/180)/(INDEX('Геом. характеристики швеллера'!$K$6:$K$41,MATCH('без учета бимомента,один тяж'!$J114,'Геом. характеристики швеллера'!$A$6:$A$41,0)))+SIN(O$110*PI()/180)/(4*INDEX('Геом. характеристики швеллера'!$O$6:$O$41,MATCH('без учета бимомента,один тяж'!$J114,'Геом. характеристики швеллера'!$A$6:$A$41,0))))/10-INDEX('Геом. характеристики швеллера'!$I$6:$I$41,MATCH('без учета бимомента,один тяж'!$J114,'Геом. характеристики швеллера'!$A$6:$A$41,0))</f>
        <v>113.6980437004416</v>
      </c>
      <c r="P114" s="50">
        <f>(8*$E$17*$E$19/($E$12^2))/(COS(P$110*PI()/180)/(INDEX('Геом. характеристики швеллера'!$K$6:$K$41,MATCH('без учета бимомента,один тяж'!$J114,'Геом. характеристики швеллера'!$A$6:$A$41,0)))+SIN(P$110*PI()/180)/(4*INDEX('Геом. характеристики швеллера'!$O$6:$O$41,MATCH('без учета бимомента,один тяж'!$J114,'Геом. характеристики швеллера'!$A$6:$A$41,0))))/10-INDEX('Геом. характеристики швеллера'!$I$6:$I$41,MATCH('без учета бимомента,один тяж'!$J114,'Геом. характеристики швеллера'!$A$6:$A$41,0))</f>
        <v>107.62149061040691</v>
      </c>
      <c r="Q114" s="55">
        <f>(8*$E$17*$E$19/($E$12^2))/(COS(Q$110*PI()/180)/(INDEX('Геом. характеристики швеллера'!$K$6:$K$41,MATCH('без учета бимомента,один тяж'!$J114,'Геом. характеристики швеллера'!$A$6:$A$41,0)))+SIN(Q$110*PI()/180)/(4*INDEX('Геом. характеристики швеллера'!$O$6:$O$41,MATCH('без учета бимомента,один тяж'!$J114,'Геом. характеристики швеллера'!$A$6:$A$41,0))))/10-INDEX('Геом. характеристики швеллера'!$I$6:$I$41,MATCH('без учета бимомента,один тяж'!$J114,'Геом. характеристики швеллера'!$A$6:$A$41,0))</f>
        <v>102.91980783317386</v>
      </c>
      <c r="R114" s="11"/>
      <c r="S114" s="11"/>
    </row>
    <row r="115" spans="1:19" x14ac:dyDescent="0.25">
      <c r="A115" s="2" t="s">
        <v>268</v>
      </c>
      <c r="I115" s="11"/>
      <c r="J115" s="40" t="s">
        <v>76</v>
      </c>
      <c r="K115" s="50">
        <f>(8*$E$17*$E$19/($E$12^2))/(COS(K$110*PI()/180)/(INDEX('Геом. характеристики швеллера'!$K$6:$K$41,MATCH('без учета бимомента,один тяж'!$J115,'Геом. характеристики швеллера'!$A$6:$A$41,0)))+SIN(K$110*PI()/180)/(4*INDEX('Геом. характеристики швеллера'!$O$6:$O$41,MATCH('без учета бимомента,один тяж'!$J115,'Геом. характеристики швеллера'!$A$6:$A$41,0))))/10-INDEX('Геом. характеристики швеллера'!$I$6:$I$41,MATCH('без учета бимомента,один тяж'!$J115,'Геом. характеристики швеллера'!$A$6:$A$41,0))</f>
        <v>232.47999999999996</v>
      </c>
      <c r="L115" s="50">
        <f>(8*$E$17*$E$19/($E$12^2))/(COS(L$110*PI()/180)/(INDEX('Геом. характеристики швеллера'!$K$6:$K$41,MATCH('без учета бимомента,один тяж'!$J115,'Геом. характеристики швеллера'!$A$6:$A$41,0)))+SIN(L$110*PI()/180)/(4*INDEX('Геом. характеристики швеллера'!$O$6:$O$41,MATCH('без учета бимомента,один тяж'!$J115,'Геом. характеристики швеллера'!$A$6:$A$41,0))))/10-INDEX('Геом. характеристики швеллера'!$I$6:$I$41,MATCH('без учета бимомента,один тяж'!$J115,'Геом. характеристики швеллера'!$A$6:$A$41,0))</f>
        <v>205.37854469679914</v>
      </c>
      <c r="M115" s="50">
        <f>(8*$E$17*$E$19/($E$12^2))/(COS(M$110*PI()/180)/(INDEX('Геом. характеристики швеллера'!$K$6:$K$41,MATCH('без учета бимомента,один тяж'!$J115,'Геом. характеристики швеллера'!$A$6:$A$41,0)))+SIN(M$110*PI()/180)/(4*INDEX('Геом. характеристики швеллера'!$O$6:$O$41,MATCH('без учета бимомента,один тяж'!$J115,'Геом. характеристики швеллера'!$A$6:$A$41,0))))/10-INDEX('Геом. характеристики швеллера'!$I$6:$I$41,MATCH('без учета бимомента,один тяж'!$J115,'Геом. характеристики швеллера'!$A$6:$A$41,0))</f>
        <v>185.05633894101192</v>
      </c>
      <c r="N115" s="50">
        <f>(8*$E$17*$E$19/($E$12^2))/(COS(N$110*PI()/180)/(INDEX('Геом. характеристики швеллера'!$K$6:$K$41,MATCH('без учета бимомента,один тяж'!$J115,'Геом. характеристики швеллера'!$A$6:$A$41,0)))+SIN(N$110*PI()/180)/(4*INDEX('Геом. характеристики швеллера'!$O$6:$O$41,MATCH('без учета бимомента,один тяж'!$J115,'Геом. характеристики швеллера'!$A$6:$A$41,0))))/10-INDEX('Геом. характеристики швеллера'!$I$6:$I$41,MATCH('без учета бимомента,один тяж'!$J115,'Геом. характеристики швеллера'!$A$6:$A$41,0))</f>
        <v>169.48375851212131</v>
      </c>
      <c r="O115" s="50">
        <f>(8*$E$17*$E$19/($E$12^2))/(COS(O$110*PI()/180)/(INDEX('Геом. характеристики швеллера'!$K$6:$K$41,MATCH('без учета бимомента,один тяж'!$J115,'Геом. характеристики швеллера'!$A$6:$A$41,0)))+SIN(O$110*PI()/180)/(4*INDEX('Геом. характеристики швеллера'!$O$6:$O$41,MATCH('без учета бимомента,один тяж'!$J115,'Геом. характеристики швеллера'!$A$6:$A$41,0))))/10-INDEX('Геом. характеристики швеллера'!$I$6:$I$41,MATCH('без учета бимомента,один тяж'!$J115,'Геом. характеристики швеллера'!$A$6:$A$41,0))</f>
        <v>157.39225710370809</v>
      </c>
      <c r="P115" s="50">
        <f>(8*$E$17*$E$19/($E$12^2))/(COS(P$110*PI()/180)/(INDEX('Геом. характеристики швеллера'!$K$6:$K$41,MATCH('без учета бимомента,один тяж'!$J115,'Геом. характеристики швеллера'!$A$6:$A$41,0)))+SIN(P$110*PI()/180)/(4*INDEX('Геом. характеристики швеллера'!$O$6:$O$41,MATCH('без учета бимомента,один тяж'!$J115,'Геом. характеристики швеллера'!$A$6:$A$41,0))))/10-INDEX('Геом. характеристики швеллера'!$I$6:$I$41,MATCH('без учета бимомента,один тяж'!$J115,'Геом. характеристики швеллера'!$A$6:$A$41,0))</f>
        <v>147.95317094582919</v>
      </c>
      <c r="Q115" s="55">
        <f>(8*$E$17*$E$19/($E$12^2))/(COS(Q$110*PI()/180)/(INDEX('Геом. характеристики швеллера'!$K$6:$K$41,MATCH('без учета бимомента,один тяж'!$J115,'Геом. характеристики швеллера'!$A$6:$A$41,0)))+SIN(Q$110*PI()/180)/(4*INDEX('Геом. характеристики швеллера'!$O$6:$O$41,MATCH('без учета бимомента,один тяж'!$J115,'Геом. характеристики швеллера'!$A$6:$A$41,0))))/10-INDEX('Геом. характеристики швеллера'!$I$6:$I$41,MATCH('без учета бимомента,один тяж'!$J115,'Геом. характеристики швеллера'!$A$6:$A$41,0))</f>
        <v>140.60755991153783</v>
      </c>
      <c r="R115" s="11"/>
      <c r="S115" s="11"/>
    </row>
    <row r="116" spans="1:19" x14ac:dyDescent="0.25">
      <c r="I116" s="11"/>
      <c r="J116" s="40" t="s">
        <v>77</v>
      </c>
      <c r="K116" s="50">
        <f>(8*$E$17*$E$19/($E$12^2))/(COS(K$110*PI()/180)/(INDEX('Геом. характеристики швеллера'!$K$6:$K$41,MATCH('без учета бимомента,один тяж'!$J116,'Геом. характеристики швеллера'!$A$6:$A$41,0)))+SIN(K$110*PI()/180)/(4*INDEX('Геом. характеристики швеллера'!$O$6:$O$41,MATCH('без учета бимомента,один тяж'!$J116,'Геом. характеристики швеллера'!$A$6:$A$41,0))))/10-INDEX('Геом. характеристики швеллера'!$I$6:$I$41,MATCH('без учета бимомента,один тяж'!$J116,'Геом. характеристики швеллера'!$A$6:$A$41,0))</f>
        <v>324.65999999999997</v>
      </c>
      <c r="L116" s="50">
        <f>(8*$E$17*$E$19/($E$12^2))/(COS(L$110*PI()/180)/(INDEX('Геом. характеристики швеллера'!$K$6:$K$41,MATCH('без учета бимомента,один тяж'!$J116,'Геом. характеристики швеллера'!$A$6:$A$41,0)))+SIN(L$110*PI()/180)/(4*INDEX('Геом. характеристики швеллера'!$O$6:$O$41,MATCH('без учета бимомента,один тяж'!$J116,'Геом. характеристики швеллера'!$A$6:$A$41,0))))/10-INDEX('Геом. характеристики швеллера'!$I$6:$I$41,MATCH('без учета бимомента,один тяж'!$J116,'Геом. характеристики швеллера'!$A$6:$A$41,0))</f>
        <v>284.51627443084624</v>
      </c>
      <c r="M116" s="50">
        <f>(8*$E$17*$E$19/($E$12^2))/(COS(M$110*PI()/180)/(INDEX('Геом. характеристики швеллера'!$K$6:$K$41,MATCH('без учета бимомента,один тяж'!$J116,'Геом. характеристики швеллера'!$A$6:$A$41,0)))+SIN(M$110*PI()/180)/(4*INDEX('Геом. характеристики швеллера'!$O$6:$O$41,MATCH('без учета бимомента,один тяж'!$J116,'Геом. характеристики швеллера'!$A$6:$A$41,0))))/10-INDEX('Геом. характеристики швеллера'!$I$6:$I$41,MATCH('без учета бимомента,один тяж'!$J116,'Геом. характеристики швеллера'!$A$6:$A$41,0))</f>
        <v>254.73532432069788</v>
      </c>
      <c r="N116" s="50">
        <f>(8*$E$17*$E$19/($E$12^2))/(COS(N$110*PI()/180)/(INDEX('Геом. характеристики швеллера'!$K$6:$K$41,MATCH('без учета бимомента,один тяж'!$J116,'Геом. характеристики швеллера'!$A$6:$A$41,0)))+SIN(N$110*PI()/180)/(4*INDEX('Геом. характеристики швеллера'!$O$6:$O$41,MATCH('без учета бимомента,один тяж'!$J116,'Геом. характеристики швеллера'!$A$6:$A$41,0))))/10-INDEX('Геом. характеристики швеллера'!$I$6:$I$41,MATCH('без учета бимомента,один тяж'!$J116,'Геом. характеристики швеллера'!$A$6:$A$41,0))</f>
        <v>232.0758155900503</v>
      </c>
      <c r="O116" s="50">
        <f>(8*$E$17*$E$19/($E$12^2))/(COS(O$110*PI()/180)/(INDEX('Геом. характеристики швеллера'!$K$6:$K$41,MATCH('без учета бимомента,один тяж'!$J116,'Геом. характеристики швеллера'!$A$6:$A$41,0)))+SIN(O$110*PI()/180)/(4*INDEX('Геом. характеристики швеллера'!$O$6:$O$41,MATCH('без учета бимомента,один тяж'!$J116,'Геом. характеристики швеллера'!$A$6:$A$41,0))))/10-INDEX('Геом. характеристики швеллера'!$I$6:$I$41,MATCH('без учета бимомента,один тяж'!$J116,'Геом. характеристики швеллера'!$A$6:$A$41,0))</f>
        <v>214.55253617588258</v>
      </c>
      <c r="P116" s="50">
        <f>(8*$E$17*$E$19/($E$12^2))/(COS(P$110*PI()/180)/(INDEX('Геом. характеристики швеллера'!$K$6:$K$41,MATCH('без учета бимомента,один тяж'!$J116,'Геом. характеристики швеллера'!$A$6:$A$41,0)))+SIN(P$110*PI()/180)/(4*INDEX('Геом. характеристики швеллера'!$O$6:$O$41,MATCH('без учета бимомента,один тяж'!$J116,'Геом. характеристики швеллера'!$A$6:$A$41,0))))/10-INDEX('Геом. характеристики швеллера'!$I$6:$I$41,MATCH('без учета бимомента,один тяж'!$J116,'Геом. характеристики швеллера'!$A$6:$A$41,0))</f>
        <v>200.88810172647871</v>
      </c>
      <c r="Q116" s="55">
        <f>(8*$E$17*$E$19/($E$12^2))/(COS(Q$110*PI()/180)/(INDEX('Геом. характеристики швеллера'!$K$6:$K$41,MATCH('без учета бимомента,один тяж'!$J116,'Геом. характеристики швеллера'!$A$6:$A$41,0)))+SIN(Q$110*PI()/180)/(4*INDEX('Геом. характеристики швеллера'!$O$6:$O$41,MATCH('без учета бимомента,один тяж'!$J116,'Геом. характеристики швеллера'!$A$6:$A$41,0))))/10-INDEX('Геом. характеристики швеллера'!$I$6:$I$41,MATCH('без учета бимомента,один тяж'!$J116,'Геом. характеристики швеллера'!$A$6:$A$41,0))</f>
        <v>190.23010243474616</v>
      </c>
      <c r="R116" s="11"/>
      <c r="S116" s="11"/>
    </row>
    <row r="117" spans="1:19" x14ac:dyDescent="0.25">
      <c r="A117" s="2" t="s">
        <v>269</v>
      </c>
      <c r="I117" s="11"/>
      <c r="J117" s="40" t="s">
        <v>78</v>
      </c>
      <c r="K117" s="50">
        <f>(8*$E$17*$E$19/($E$12^2))/(COS(K$110*PI()/180)/(INDEX('Геом. характеристики швеллера'!$K$6:$K$41,MATCH('без учета бимомента,один тяж'!$J117,'Геом. характеристики швеллера'!$A$6:$A$41,0)))+SIN(K$110*PI()/180)/(4*INDEX('Геом. характеристики швеллера'!$O$6:$O$41,MATCH('без учета бимомента,один тяж'!$J117,'Геом. характеристики швеллера'!$A$6:$A$41,0))))/10-INDEX('Геом. характеристики швеллера'!$I$6:$I$41,MATCH('без учета бимомента,один тяж'!$J117,'Геом. характеристики швеллера'!$A$6:$A$41,0))</f>
        <v>434.12000000000006</v>
      </c>
      <c r="L117" s="50">
        <f>(8*$E$17*$E$19/($E$12^2))/(COS(L$110*PI()/180)/(INDEX('Геом. характеристики швеллера'!$K$6:$K$41,MATCH('без учета бимомента,один тяж'!$J117,'Геом. характеристики швеллера'!$A$6:$A$41,0)))+SIN(L$110*PI()/180)/(4*INDEX('Геом. характеристики швеллера'!$O$6:$O$41,MATCH('без учета бимомента,один тяж'!$J117,'Геом. характеристики швеллера'!$A$6:$A$41,0))))/10-INDEX('Геом. характеристики швеллера'!$I$6:$I$41,MATCH('без учета бимомента,один тяж'!$J117,'Геом. характеристики швеллера'!$A$6:$A$41,0))</f>
        <v>377.80299169747241</v>
      </c>
      <c r="M117" s="50">
        <f>(8*$E$17*$E$19/($E$12^2))/(COS(M$110*PI()/180)/(INDEX('Геом. характеристики швеллера'!$K$6:$K$41,MATCH('без учета бимомента,один тяж'!$J117,'Геом. характеристики швеллера'!$A$6:$A$41,0)))+SIN(M$110*PI()/180)/(4*INDEX('Геом. характеристики швеллера'!$O$6:$O$41,MATCH('без учета бимомента,один тяж'!$J117,'Геом. характеристики швеллера'!$A$6:$A$41,0))))/10-INDEX('Геом. характеристики швеллера'!$I$6:$I$41,MATCH('без учета бимомента,один тяж'!$J117,'Геом. характеристики швеллера'!$A$6:$A$41,0))</f>
        <v>336.42651181395314</v>
      </c>
      <c r="N117" s="50">
        <f>(8*$E$17*$E$19/($E$12^2))/(COS(N$110*PI()/180)/(INDEX('Геом. характеристики швеллера'!$K$6:$K$41,MATCH('без учета бимомента,один тяж'!$J117,'Геом. характеристики швеллера'!$A$6:$A$41,0)))+SIN(N$110*PI()/180)/(4*INDEX('Геом. характеристики швеллера'!$O$6:$O$41,MATCH('без учета бимомента,один тяж'!$J117,'Геом. характеристики швеллера'!$A$6:$A$41,0))))/10-INDEX('Геом. характеристики швеллера'!$I$6:$I$41,MATCH('без учета бимомента,один тяж'!$J117,'Геом. характеристики швеллера'!$A$6:$A$41,0))</f>
        <v>305.14918582480936</v>
      </c>
      <c r="O117" s="50">
        <f>(8*$E$17*$E$19/($E$12^2))/(COS(O$110*PI()/180)/(INDEX('Геом. характеристики швеллера'!$K$6:$K$41,MATCH('без учета бимомента,один тяж'!$J117,'Геом. характеристики швеллера'!$A$6:$A$41,0)))+SIN(O$110*PI()/180)/(4*INDEX('Геом. характеристики швеллера'!$O$6:$O$41,MATCH('без учета бимомента,один тяж'!$J117,'Геом. характеристики швеллера'!$A$6:$A$41,0))))/10-INDEX('Геом. характеристики швеллера'!$I$6:$I$41,MATCH('без учета бимомента,один тяж'!$J117,'Геом. характеристики швеллера'!$A$6:$A$41,0))</f>
        <v>281.0580465287951</v>
      </c>
      <c r="P117" s="50">
        <f>(8*$E$17*$E$19/($E$12^2))/(COS(P$110*PI()/180)/(INDEX('Геом. характеристики швеллера'!$K$6:$K$41,MATCH('без учета бимомента,один тяж'!$J117,'Геом. характеристики швеллера'!$A$6:$A$41,0)))+SIN(P$110*PI()/180)/(4*INDEX('Геом. характеристики швеллера'!$O$6:$O$41,MATCH('без учета бимомента,один тяж'!$J117,'Геом. характеристики швеллера'!$A$6:$A$41,0))))/10-INDEX('Геом. характеристики швеллера'!$I$6:$I$41,MATCH('без учета бимомента,один тяж'!$J117,'Геом. характеристики швеллера'!$A$6:$A$41,0))</f>
        <v>262.30347077301184</v>
      </c>
      <c r="Q117" s="55">
        <f>(8*$E$17*$E$19/($E$12^2))/(COS(Q$110*PI()/180)/(INDEX('Геом. характеристики швеллера'!$K$6:$K$41,MATCH('без учета бимомента,один тяж'!$J117,'Геом. характеристики швеллера'!$A$6:$A$41,0)))+SIN(Q$110*PI()/180)/(4*INDEX('Геом. характеристики швеллера'!$O$6:$O$41,MATCH('без учета бимомента,один тяж'!$J117,'Геом. характеристики швеллера'!$A$6:$A$41,0))))/10-INDEX('Геом. характеристики швеллера'!$I$6:$I$41,MATCH('без учета бимомента,один тяж'!$J117,'Геом. характеристики швеллера'!$A$6:$A$41,0))</f>
        <v>247.66305640806252</v>
      </c>
      <c r="R117" s="11"/>
      <c r="S117" s="11"/>
    </row>
    <row r="118" spans="1:19" x14ac:dyDescent="0.25">
      <c r="I118" s="11"/>
      <c r="J118" s="40" t="s">
        <v>79</v>
      </c>
      <c r="K118" s="50">
        <f>(8*$E$17*$E$19/($E$12^2))/(COS(K$110*PI()/180)/(INDEX('Геом. характеристики швеллера'!$K$6:$K$41,MATCH('без учета бимомента,один тяж'!$J118,'Геом. характеристики швеллера'!$A$6:$A$41,0)))+SIN(K$110*PI()/180)/(4*INDEX('Геом. характеристики швеллера'!$O$6:$O$41,MATCH('без учета бимомента,один тяж'!$J118,'Геом. характеристики швеллера'!$A$6:$A$41,0))))/10-INDEX('Геом. характеристики швеллера'!$I$6:$I$41,MATCH('без учета бимомента,один тяж'!$J118,'Геом. характеристики швеллера'!$A$6:$A$41,0))</f>
        <v>479.09999999999997</v>
      </c>
      <c r="L118" s="50">
        <f>(8*$E$17*$E$19/($E$12^2))/(COS(L$110*PI()/180)/(INDEX('Геом. характеристики швеллера'!$K$6:$K$41,MATCH('без учета бимомента,один тяж'!$J118,'Геом. характеристики швеллера'!$A$6:$A$41,0)))+SIN(L$110*PI()/180)/(4*INDEX('Геом. характеристики швеллера'!$O$6:$O$41,MATCH('без учета бимомента,один тяж'!$J118,'Геом. характеристики швеллера'!$A$6:$A$41,0))))/10-INDEX('Геом. характеристики швеллера'!$I$6:$I$41,MATCH('без учета бимомента,один тяж'!$J118,'Геом. характеристики швеллера'!$A$6:$A$41,0))</f>
        <v>421.0482917870994</v>
      </c>
      <c r="M118" s="50">
        <f>(8*$E$17*$E$19/($E$12^2))/(COS(M$110*PI()/180)/(INDEX('Геом. характеристики швеллера'!$K$6:$K$41,MATCH('без учета бимомента,один тяж'!$J118,'Геом. характеристики швеллера'!$A$6:$A$41,0)))+SIN(M$110*PI()/180)/(4*INDEX('Геом. характеристики швеллера'!$O$6:$O$41,MATCH('без учета бимомента,один тяж'!$J118,'Геом. характеристики швеллера'!$A$6:$A$41,0))))/10-INDEX('Геом. характеристики швеллера'!$I$6:$I$41,MATCH('без учета бимомента,один тяж'!$J118,'Геом. характеристики швеллера'!$A$6:$A$41,0))</f>
        <v>377.87461323345576</v>
      </c>
      <c r="N118" s="50">
        <f>(8*$E$17*$E$19/($E$12^2))/(COS(N$110*PI()/180)/(INDEX('Геом. характеристики швеллера'!$K$6:$K$41,MATCH('без учета бимомента,один тяж'!$J118,'Геом. характеристики швеллера'!$A$6:$A$41,0)))+SIN(N$110*PI()/180)/(4*INDEX('Геом. характеристики швеллера'!$O$6:$O$41,MATCH('без учета бимомента,один тяж'!$J118,'Геом. характеристики швеллера'!$A$6:$A$41,0))))/10-INDEX('Геом. характеристики швеллера'!$I$6:$I$41,MATCH('без учета бимомента,один тяж'!$J118,'Геом. характеристики швеллера'!$A$6:$A$41,0))</f>
        <v>344.97021392372898</v>
      </c>
      <c r="O118" s="50">
        <f>(8*$E$17*$E$19/($E$12^2))/(COS(O$110*PI()/180)/(INDEX('Геом. характеристики швеллера'!$K$6:$K$41,MATCH('без учета бимомента,один тяж'!$J118,'Геом. характеристики швеллера'!$A$6:$A$41,0)))+SIN(O$110*PI()/180)/(4*INDEX('Геом. характеристики швеллера'!$O$6:$O$41,MATCH('без учета бимомента,один тяж'!$J118,'Геом. характеристики швеллера'!$A$6:$A$41,0))))/10-INDEX('Геом. характеристики швеллера'!$I$6:$I$41,MATCH('без учета бимомента,один тяж'!$J118,'Геом. характеристики швеллера'!$A$6:$A$41,0))</f>
        <v>319.49921857940478</v>
      </c>
      <c r="P118" s="50">
        <f>(8*$E$17*$E$19/($E$12^2))/(COS(P$110*PI()/180)/(INDEX('Геом. характеристики швеллера'!$K$6:$K$41,MATCH('без учета бимомента,один тяж'!$J118,'Геом. характеристики швеллера'!$A$6:$A$41,0)))+SIN(P$110*PI()/180)/(4*INDEX('Геом. характеристики швеллера'!$O$6:$O$41,MATCH('без учета бимомента,один тяж'!$J118,'Геом. характеристики швеллера'!$A$6:$A$41,0))))/10-INDEX('Геом. характеристики швеллера'!$I$6:$I$41,MATCH('без учета бимомента,один тяж'!$J118,'Геом. характеристики швеллера'!$A$6:$A$41,0))</f>
        <v>299.63053629501837</v>
      </c>
      <c r="Q118" s="55">
        <f>(8*$E$17*$E$19/($E$12^2))/(COS(Q$110*PI()/180)/(INDEX('Геом. характеристики швеллера'!$K$6:$K$41,MATCH('без учета бимомента,один тяж'!$J118,'Геом. характеристики швеллера'!$A$6:$A$41,0)))+SIN(Q$110*PI()/180)/(4*INDEX('Геом. характеристики швеллера'!$O$6:$O$41,MATCH('без учета бимомента,один тяж'!$J118,'Геом. характеристики швеллера'!$A$6:$A$41,0))))/10-INDEX('Геом. характеристики швеллера'!$I$6:$I$41,MATCH('без учета бимомента,один тяж'!$J118,'Геом. характеристики швеллера'!$A$6:$A$41,0))</f>
        <v>284.13920934130761</v>
      </c>
      <c r="R118" s="11"/>
      <c r="S118" s="11"/>
    </row>
    <row r="119" spans="1:19" x14ac:dyDescent="0.25">
      <c r="B119"/>
      <c r="I119" s="11"/>
      <c r="J119" s="40" t="s">
        <v>80</v>
      </c>
      <c r="K119" s="50">
        <f>(8*$E$17*$E$19/($E$12^2))/(COS(K$110*PI()/180)/(INDEX('Геом. характеристики швеллера'!$K$6:$K$41,MATCH('без учета бимомента,один тяж'!$J119,'Геом. характеристики швеллера'!$A$6:$A$41,0)))+SIN(K$110*PI()/180)/(4*INDEX('Геом. характеристики швеллера'!$O$6:$O$41,MATCH('без учета бимомента,один тяж'!$J119,'Геом. характеристики швеллера'!$A$6:$A$41,0))))/10-INDEX('Геом. характеристики швеллера'!$I$6:$I$41,MATCH('без учета бимомента,один тяж'!$J119,'Геом. характеристики швеллера'!$A$6:$A$41,0))</f>
        <v>564.5</v>
      </c>
      <c r="L119" s="50">
        <f>(8*$E$17*$E$19/($E$12^2))/(COS(L$110*PI()/180)/(INDEX('Геом. характеристики швеллера'!$K$6:$K$41,MATCH('без учета бимомента,один тяж'!$J119,'Геом. характеристики швеллера'!$A$6:$A$41,0)))+SIN(L$110*PI()/180)/(4*INDEX('Геом. характеристики швеллера'!$O$6:$O$41,MATCH('без учета бимомента,один тяж'!$J119,'Геом. характеристики швеллера'!$A$6:$A$41,0))))/10-INDEX('Геом. характеристики швеллера'!$I$6:$I$41,MATCH('без учета бимомента,один тяж'!$J119,'Геом. характеристики швеллера'!$A$6:$A$41,0))</f>
        <v>488.18168215221095</v>
      </c>
      <c r="M119" s="50">
        <f>(8*$E$17*$E$19/($E$12^2))/(COS(M$110*PI()/180)/(INDEX('Геом. характеристики швеллера'!$K$6:$K$41,MATCH('без учета бимомента,один тяж'!$J119,'Геом. характеристики швеллера'!$A$6:$A$41,0)))+SIN(M$110*PI()/180)/(4*INDEX('Геом. характеристики швеллера'!$O$6:$O$41,MATCH('без учета бимомента,один тяж'!$J119,'Геом. характеристики швеллера'!$A$6:$A$41,0))))/10-INDEX('Геом. характеристики швеллера'!$I$6:$I$41,MATCH('без учета бимомента,один тяж'!$J119,'Геом. характеристики швеллера'!$A$6:$A$41,0))</f>
        <v>432.61040797156454</v>
      </c>
      <c r="N119" s="50">
        <f>(8*$E$17*$E$19/($E$12^2))/(COS(N$110*PI()/180)/(INDEX('Геом. характеристики швеллера'!$K$6:$K$41,MATCH('без учета бимомента,один тяж'!$J119,'Геом. характеристики швеллера'!$A$6:$A$41,0)))+SIN(N$110*PI()/180)/(4*INDEX('Геом. характеристики швеллера'!$O$6:$O$41,MATCH('без учета бимомента,один тяж'!$J119,'Геом. характеристики швеллера'!$A$6:$A$41,0))))/10-INDEX('Геом. характеристики швеллера'!$I$6:$I$41,MATCH('без учета бимомента,один тяж'!$J119,'Геом. характеристики швеллера'!$A$6:$A$41,0))</f>
        <v>390.85850832832119</v>
      </c>
      <c r="O119" s="50">
        <f>(8*$E$17*$E$19/($E$12^2))/(COS(O$110*PI()/180)/(INDEX('Геом. характеристики швеллера'!$K$6:$K$41,MATCH('без учета бимомента,один тяж'!$J119,'Геом. характеристики швеллера'!$A$6:$A$41,0)))+SIN(O$110*PI()/180)/(4*INDEX('Геом. характеристики швеллера'!$O$6:$O$41,MATCH('без учета бимомента,один тяж'!$J119,'Геом. характеристики швеллера'!$A$6:$A$41,0))))/10-INDEX('Геом. характеристики швеллера'!$I$6:$I$41,MATCH('без учета бимомента,один тяж'!$J119,'Геом. характеристики швеллера'!$A$6:$A$41,0))</f>
        <v>358.82418054245699</v>
      </c>
      <c r="P119" s="50">
        <f>(8*$E$17*$E$19/($E$12^2))/(COS(P$110*PI()/180)/(INDEX('Геом. характеристики швеллера'!$K$6:$K$41,MATCH('без учета бимомента,один тяж'!$J119,'Геом. характеристики швеллера'!$A$6:$A$41,0)))+SIN(P$110*PI()/180)/(4*INDEX('Геом. характеристики швеллера'!$O$6:$O$41,MATCH('без учета бимомента,один тяж'!$J119,'Геом. характеристики швеллера'!$A$6:$A$41,0))))/10-INDEX('Геом. характеристики швеллера'!$I$6:$I$41,MATCH('без учета бимомента,один тяж'!$J119,'Геом. характеристики швеллера'!$A$6:$A$41,0))</f>
        <v>333.93403636599987</v>
      </c>
      <c r="Q119" s="55">
        <f>(8*$E$17*$E$19/($E$12^2))/(COS(Q$110*PI()/180)/(INDEX('Геом. характеристики швеллера'!$K$6:$K$41,MATCH('без учета бимомента,один тяж'!$J119,'Геом. характеристики швеллера'!$A$6:$A$41,0)))+SIN(Q$110*PI()/180)/(4*INDEX('Геом. характеристики швеллера'!$O$6:$O$41,MATCH('без учета бимомента,один тяж'!$J119,'Геом. характеристики швеллера'!$A$6:$A$41,0))))/10-INDEX('Геом. характеристики швеллера'!$I$6:$I$41,MATCH('без учета бимомента,один тяж'!$J119,'Геом. характеристики швеллера'!$A$6:$A$41,0))</f>
        <v>314.5023298244937</v>
      </c>
      <c r="R119" s="11"/>
      <c r="S119" s="11"/>
    </row>
    <row r="120" spans="1:19" x14ac:dyDescent="0.25">
      <c r="I120" s="11"/>
      <c r="J120" s="40" t="s">
        <v>81</v>
      </c>
      <c r="K120" s="50">
        <f>(8*$E$17*$E$19/($E$12^2))/(COS(K$110*PI()/180)/(INDEX('Геом. характеристики швеллера'!$K$6:$K$41,MATCH('без учета бимомента,один тяж'!$J120,'Геом. характеристики швеллера'!$A$6:$A$41,0)))+SIN(K$110*PI()/180)/(4*INDEX('Геом. характеристики швеллера'!$O$6:$O$41,MATCH('без учета бимомента,один тяж'!$J120,'Геом. характеристики швеллера'!$A$6:$A$41,0))))/10-INDEX('Геом. характеристики швеллера'!$I$6:$I$41,MATCH('без учета бимомента,один тяж'!$J120,'Геом. характеристики швеллера'!$A$6:$A$41,0))</f>
        <v>616.20000000000005</v>
      </c>
      <c r="L120" s="50">
        <f>(8*$E$17*$E$19/($E$12^2))/(COS(L$110*PI()/180)/(INDEX('Геом. характеристики швеллера'!$K$6:$K$41,MATCH('без учета бимомента,один тяж'!$J120,'Геом. характеристики швеллера'!$A$6:$A$41,0)))+SIN(L$110*PI()/180)/(4*INDEX('Геом. характеристики швеллера'!$O$6:$O$41,MATCH('без учета бимомента,один тяж'!$J120,'Геом. характеристики швеллера'!$A$6:$A$41,0))))/10-INDEX('Геом. характеристики швеллера'!$I$6:$I$41,MATCH('без учета бимомента,один тяж'!$J120,'Геом. характеристики швеллера'!$A$6:$A$41,0))</f>
        <v>538.38865773508394</v>
      </c>
      <c r="M120" s="50">
        <f>(8*$E$17*$E$19/($E$12^2))/(COS(M$110*PI()/180)/(INDEX('Геом. характеристики швеллера'!$K$6:$K$41,MATCH('без учета бимомента,один тяж'!$J120,'Геом. характеристики швеллера'!$A$6:$A$41,0)))+SIN(M$110*PI()/180)/(4*INDEX('Геом. характеристики швеллера'!$O$6:$O$41,MATCH('без учета бимомента,один тяж'!$J120,'Геом. характеристики швеллера'!$A$6:$A$41,0))))/10-INDEX('Геом. характеристики швеллера'!$I$6:$I$41,MATCH('без учета бимомента,один тяж'!$J120,'Геом. характеристики швеллера'!$A$6:$A$41,0))</f>
        <v>480.97679630673349</v>
      </c>
      <c r="N120" s="50">
        <f>(8*$E$17*$E$19/($E$12^2))/(COS(N$110*PI()/180)/(INDEX('Геом. характеристики швеллера'!$K$6:$K$41,MATCH('без учета бимомента,один тяж'!$J120,'Геом. характеристики швеллера'!$A$6:$A$41,0)))+SIN(N$110*PI()/180)/(4*INDEX('Геом. характеристики швеллера'!$O$6:$O$41,MATCH('без учета бимомента,один тяж'!$J120,'Геом. характеристики швеллера'!$A$6:$A$41,0))))/10-INDEX('Геом. характеристики швеллера'!$I$6:$I$41,MATCH('без учета бимомента,один тяж'!$J120,'Геом. характеристики швеллера'!$A$6:$A$41,0))</f>
        <v>437.45308512961037</v>
      </c>
      <c r="O120" s="50">
        <f>(8*$E$17*$E$19/($E$12^2))/(COS(O$110*PI()/180)/(INDEX('Геом. характеристики швеллера'!$K$6:$K$41,MATCH('без учета бимомента,один тяж'!$J120,'Геом. характеристики швеллера'!$A$6:$A$41,0)))+SIN(O$110*PI()/180)/(4*INDEX('Геом. характеристики швеллера'!$O$6:$O$41,MATCH('без учета бимомента,один тяж'!$J120,'Геом. характеристики швеллера'!$A$6:$A$41,0))))/10-INDEX('Геом. характеристики швеллера'!$I$6:$I$41,MATCH('без учета бимомента,один тяж'!$J120,'Геом. характеристики швеллера'!$A$6:$A$41,0))</f>
        <v>403.86935314043825</v>
      </c>
      <c r="P120" s="50">
        <f>(8*$E$17*$E$19/($E$12^2))/(COS(P$110*PI()/180)/(INDEX('Геом. характеристики швеллера'!$K$6:$K$41,MATCH('без учета бимомента,один тяж'!$J120,'Геом. характеристики швеллера'!$A$6:$A$41,0)))+SIN(P$110*PI()/180)/(4*INDEX('Геом. характеристики швеллера'!$O$6:$O$41,MATCH('без учета бимомента,один тяж'!$J120,'Геом. характеристики швеллера'!$A$6:$A$41,0))))/10-INDEX('Геом. характеристики швеллера'!$I$6:$I$41,MATCH('без учета бимомента,один тяж'!$J120,'Геом. характеристики швеллера'!$A$6:$A$41,0))</f>
        <v>377.70412142932514</v>
      </c>
      <c r="Q120" s="55">
        <f>(8*$E$17*$E$19/($E$12^2))/(COS(Q$110*PI()/180)/(INDEX('Геом. характеристики швеллера'!$K$6:$K$41,MATCH('без учета бимомента,один тяж'!$J120,'Геом. характеристики швеллера'!$A$6:$A$41,0)))+SIN(Q$110*PI()/180)/(4*INDEX('Геом. характеристики швеллера'!$O$6:$O$41,MATCH('без учета бимомента,один тяж'!$J120,'Геом. характеристики швеллера'!$A$6:$A$41,0))))/10-INDEX('Геом. характеристики швеллера'!$I$6:$I$41,MATCH('без учета бимомента,один тяж'!$J120,'Геом. характеристики швеллера'!$A$6:$A$41,0))</f>
        <v>357.28390396858134</v>
      </c>
      <c r="R120" s="11"/>
      <c r="S120" s="11"/>
    </row>
    <row r="121" spans="1:19" x14ac:dyDescent="0.25">
      <c r="C121" s="2">
        <f>C88*E26*100/(E27*E24*E18*E19)</f>
        <v>0.14155962998310662</v>
      </c>
      <c r="E121" s="115" t="str">
        <f>IF(C121&lt;1,"Условия прочности обеспечены","Условия прочности не обеспечены")</f>
        <v>Условия прочности обеспечены</v>
      </c>
      <c r="F121" s="115"/>
      <c r="G121" s="115"/>
      <c r="I121" s="11"/>
      <c r="J121" s="40" t="s">
        <v>82</v>
      </c>
      <c r="K121" s="50">
        <f>(8*$E$17*$E$19/($E$12^2))/(COS(K$110*PI()/180)/(INDEX('Геом. характеристики швеллера'!$K$6:$K$41,MATCH('без учета бимомента,один тяж'!$J121,'Геом. характеристики швеллера'!$A$6:$A$41,0)))+SIN(K$110*PI()/180)/(4*INDEX('Геом. характеристики швеллера'!$O$6:$O$41,MATCH('без учета бимомента,один тяж'!$J121,'Геом. характеристики швеллера'!$A$6:$A$41,0))))/10-INDEX('Геом. характеристики швеллера'!$I$6:$I$41,MATCH('без учета бимомента,один тяж'!$J121,'Геом. характеристики швеллера'!$A$6:$A$41,0))</f>
        <v>711.2</v>
      </c>
      <c r="L121" s="50">
        <f>(8*$E$17*$E$19/($E$12^2))/(COS(L$110*PI()/180)/(INDEX('Геом. характеристики швеллера'!$K$6:$K$41,MATCH('без учета бимомента,один тяж'!$J121,'Геом. характеристики швеллера'!$A$6:$A$41,0)))+SIN(L$110*PI()/180)/(4*INDEX('Геом. характеристики швеллера'!$O$6:$O$41,MATCH('без учета бимомента,один тяж'!$J121,'Геом. характеристики швеллера'!$A$6:$A$41,0))))/10-INDEX('Геом. характеристики швеллера'!$I$6:$I$41,MATCH('без учета бимомента,один тяж'!$J121,'Геом. характеристики швеллера'!$A$6:$A$41,0))</f>
        <v>611.78694740365358</v>
      </c>
      <c r="M121" s="50">
        <f>(8*$E$17*$E$19/($E$12^2))/(COS(M$110*PI()/180)/(INDEX('Геом. характеристики швеллера'!$K$6:$K$41,MATCH('без учета бимомента,один тяж'!$J121,'Геом. характеристики швеллера'!$A$6:$A$41,0)))+SIN(M$110*PI()/180)/(4*INDEX('Геом. характеристики швеллера'!$O$6:$O$41,MATCH('без учета бимомента,один тяж'!$J121,'Геом. характеристики швеллера'!$A$6:$A$41,0))))/10-INDEX('Геом. характеристики швеллера'!$I$6:$I$41,MATCH('без учета бимомента,один тяж'!$J121,'Геом. характеристики швеллера'!$A$6:$A$41,0))</f>
        <v>539.95644478405313</v>
      </c>
      <c r="N121" s="50">
        <f>(8*$E$17*$E$19/($E$12^2))/(COS(N$110*PI()/180)/(INDEX('Геом. характеристики швеллера'!$K$6:$K$41,MATCH('без учета бимомента,один тяж'!$J121,'Геом. характеристики швеллера'!$A$6:$A$41,0)))+SIN(N$110*PI()/180)/(4*INDEX('Геом. характеристики швеллера'!$O$6:$O$41,MATCH('без учета бимомента,один тяж'!$J121,'Геом. характеристики швеллера'!$A$6:$A$41,0))))/10-INDEX('Геом. характеристики швеллера'!$I$6:$I$41,MATCH('без учета бимомента,один тяж'!$J121,'Геом. характеристики швеллера'!$A$6:$A$41,0))</f>
        <v>486.27322192340966</v>
      </c>
      <c r="O121" s="50">
        <f>(8*$E$17*$E$19/($E$12^2))/(COS(O$110*PI()/180)/(INDEX('Геом. характеристики швеллера'!$K$6:$K$41,MATCH('без учета бимомента,один тяж'!$J121,'Геом. характеристики швеллера'!$A$6:$A$41,0)))+SIN(O$110*PI()/180)/(4*INDEX('Геом. характеристики швеллера'!$O$6:$O$41,MATCH('без учета бимомента,один тяж'!$J121,'Геом. характеристики швеллера'!$A$6:$A$41,0))))/10-INDEX('Геом. характеристики швеллера'!$I$6:$I$41,MATCH('без учета бимомента,один тяж'!$J121,'Геом. характеристики швеллера'!$A$6:$A$41,0))</f>
        <v>445.22631114142388</v>
      </c>
      <c r="P121" s="50">
        <f>(8*$E$17*$E$19/($E$12^2))/(COS(P$110*PI()/180)/(INDEX('Геом. характеристики швеллера'!$K$6:$K$41,MATCH('без учета бимомента,один тяж'!$J121,'Геом. характеристики швеллера'!$A$6:$A$41,0)))+SIN(P$110*PI()/180)/(4*INDEX('Геом. характеристики швеллера'!$O$6:$O$41,MATCH('без учета бимомента,один тяж'!$J121,'Геом. характеристики швеллера'!$A$6:$A$41,0))))/10-INDEX('Геом. характеристики швеллера'!$I$6:$I$41,MATCH('без учета бимомента,один тяж'!$J121,'Геом. характеристики швеллера'!$A$6:$A$41,0))</f>
        <v>413.39320455698572</v>
      </c>
      <c r="Q121" s="55">
        <f>(8*$E$17*$E$19/($E$12^2))/(COS(Q$110*PI()/180)/(INDEX('Геом. характеристики швеллера'!$K$6:$K$41,MATCH('без учета бимомента,один тяж'!$J121,'Геом. характеристики швеллера'!$A$6:$A$41,0)))+SIN(Q$110*PI()/180)/(4*INDEX('Геом. характеристики швеллера'!$O$6:$O$41,MATCH('без учета бимомента,один тяж'!$J121,'Геом. характеристики швеллера'!$A$6:$A$41,0))))/10-INDEX('Геом. характеристики швеллера'!$I$6:$I$41,MATCH('без учета бимомента,один тяж'!$J121,'Геом. характеристики швеллера'!$A$6:$A$41,0))</f>
        <v>388.54876799730675</v>
      </c>
      <c r="R121" s="11"/>
      <c r="S121" s="11"/>
    </row>
    <row r="122" spans="1:19" x14ac:dyDescent="0.25">
      <c r="I122" s="11"/>
      <c r="J122" s="40" t="s">
        <v>83</v>
      </c>
      <c r="K122" s="50">
        <f>(8*$E$17*$E$19/($E$12^2))/(COS(K$110*PI()/180)/(INDEX('Геом. характеристики швеллера'!$K$6:$K$41,MATCH('без учета бимомента,один тяж'!$J122,'Геом. характеристики швеллера'!$A$6:$A$41,0)))+SIN(K$110*PI()/180)/(4*INDEX('Геом. характеристики швеллера'!$O$6:$O$41,MATCH('без учета бимомента,один тяж'!$J122,'Геом. характеристики швеллера'!$A$6:$A$41,0))))/10-INDEX('Геом. характеристики швеллера'!$I$6:$I$41,MATCH('без учета бимомента,один тяж'!$J122,'Геом. характеристики швеллера'!$A$6:$A$41,0))</f>
        <v>900.6</v>
      </c>
      <c r="L122" s="50">
        <f>(8*$E$17*$E$19/($E$12^2))/(COS(L$110*PI()/180)/(INDEX('Геом. характеристики швеллера'!$K$6:$K$41,MATCH('без учета бимомента,один тяж'!$J122,'Геом. характеристики швеллера'!$A$6:$A$41,0)))+SIN(L$110*PI()/180)/(4*INDEX('Геом. характеристики швеллера'!$O$6:$O$41,MATCH('без учета бимомента,один тяж'!$J122,'Геом. характеристики швеллера'!$A$6:$A$41,0))))/10-INDEX('Геом. характеристики швеллера'!$I$6:$I$41,MATCH('без учета бимомента,один тяж'!$J122,'Геом. характеристики швеллера'!$A$6:$A$41,0))</f>
        <v>771.52397084451616</v>
      </c>
      <c r="M122" s="50">
        <f>(8*$E$17*$E$19/($E$12^2))/(COS(M$110*PI()/180)/(INDEX('Геом. характеристики швеллера'!$K$6:$K$41,MATCH('без учета бимомента,один тяж'!$J122,'Геом. характеристики швеллера'!$A$6:$A$41,0)))+SIN(M$110*PI()/180)/(4*INDEX('Геом. характеристики швеллера'!$O$6:$O$41,MATCH('без учета бимомента,один тяж'!$J122,'Геом. характеристики швеллера'!$A$6:$A$41,0))))/10-INDEX('Геом. характеристики швеллера'!$I$6:$I$41,MATCH('без учета бимомента,один тяж'!$J122,'Геом. характеристики швеллера'!$A$6:$A$41,0))</f>
        <v>678.83387712845172</v>
      </c>
      <c r="N122" s="50">
        <f>(8*$E$17*$E$19/($E$12^2))/(COS(N$110*PI()/180)/(INDEX('Геом. характеристики швеллера'!$K$6:$K$41,MATCH('без учета бимомента,один тяж'!$J122,'Геом. характеристики швеллера'!$A$6:$A$41,0)))+SIN(N$110*PI()/180)/(4*INDEX('Геом. характеристики швеллера'!$O$6:$O$41,MATCH('без учета бимомента,один тяж'!$J122,'Геом. характеристики швеллера'!$A$6:$A$41,0))))/10-INDEX('Геом. характеристики швеллера'!$I$6:$I$41,MATCH('без учета бимомента,один тяж'!$J122,'Геом. характеристики швеллера'!$A$6:$A$41,0))</f>
        <v>609.85324916211425</v>
      </c>
      <c r="O122" s="50">
        <f>(8*$E$17*$E$19/($E$12^2))/(COS(O$110*PI()/180)/(INDEX('Геом. характеристики швеллера'!$K$6:$K$41,MATCH('без учета бимомента,один тяж'!$J122,'Геом. характеристики швеллера'!$A$6:$A$41,0)))+SIN(O$110*PI()/180)/(4*INDEX('Геом. характеристики швеллера'!$O$6:$O$41,MATCH('без учета бимомента,один тяж'!$J122,'Геом. характеристики швеллера'!$A$6:$A$41,0))))/10-INDEX('Геом. характеристики швеллера'!$I$6:$I$41,MATCH('без учета бимомента,один тяж'!$J122,'Геом. характеристики швеллера'!$A$6:$A$41,0))</f>
        <v>557.25699260204817</v>
      </c>
      <c r="P122" s="50">
        <f>(8*$E$17*$E$19/($E$12^2))/(COS(P$110*PI()/180)/(INDEX('Геом. характеристики швеллера'!$K$6:$K$41,MATCH('без учета бимомента,один тяж'!$J122,'Геом. характеристики швеллера'!$A$6:$A$41,0)))+SIN(P$110*PI()/180)/(4*INDEX('Геом. характеристики швеллера'!$O$6:$O$41,MATCH('без учета бимомента,один тяж'!$J122,'Геом. характеристики швеллера'!$A$6:$A$41,0))))/10-INDEX('Геом. характеристики швеллера'!$I$6:$I$41,MATCH('без учета бимомента,один тяж'!$J122,'Геом. характеристики швеллера'!$A$6:$A$41,0))</f>
        <v>516.53215864588105</v>
      </c>
      <c r="Q122" s="55">
        <f>(8*$E$17*$E$19/($E$12^2))/(COS(Q$110*PI()/180)/(INDEX('Геом. характеристики швеллера'!$K$6:$K$41,MATCH('без учета бимомента,один тяж'!$J122,'Геом. характеристики швеллера'!$A$6:$A$41,0)))+SIN(Q$110*PI()/180)/(4*INDEX('Геом. характеристики швеллера'!$O$6:$O$41,MATCH('без учета бимомента,один тяж'!$J122,'Геом. характеристики швеллера'!$A$6:$A$41,0))))/10-INDEX('Геом. характеристики швеллера'!$I$6:$I$41,MATCH('без учета бимомента,один тяж'!$J122,'Геом. характеристики швеллера'!$A$6:$A$41,0))</f>
        <v>484.76207038580935</v>
      </c>
      <c r="R122" s="11"/>
      <c r="S122" s="11"/>
    </row>
    <row r="123" spans="1:19" x14ac:dyDescent="0.25">
      <c r="A123" s="2" t="s">
        <v>273</v>
      </c>
      <c r="I123" s="11"/>
      <c r="J123" s="40" t="s">
        <v>84</v>
      </c>
      <c r="K123" s="50">
        <f>(8*$E$17*$E$19/($E$12^2))/(COS(K$110*PI()/180)/(INDEX('Геом. характеристики швеллера'!$K$6:$K$41,MATCH('без учета бимомента,один тяж'!$J123,'Геом. характеристики швеллера'!$A$6:$A$41,0)))+SIN(K$110*PI()/180)/(4*INDEX('Геом. характеристики швеллера'!$O$6:$O$41,MATCH('без учета бимомента,один тяж'!$J123,'Геом. характеристики швеллера'!$A$6:$A$41,0))))/10-INDEX('Геом. характеристики швеллера'!$I$6:$I$41,MATCH('без учета бимомента,один тяж'!$J123,'Геом. характеристики швеллера'!$A$6:$A$41,0))</f>
        <v>1137.5999999999999</v>
      </c>
      <c r="L123" s="50">
        <f>(8*$E$17*$E$19/($E$12^2))/(COS(L$110*PI()/180)/(INDEX('Геом. характеристики швеллера'!$K$6:$K$41,MATCH('без учета бимомента,один тяж'!$J123,'Геом. характеристики швеллера'!$A$6:$A$41,0)))+SIN(L$110*PI()/180)/(4*INDEX('Геом. характеристики швеллера'!$O$6:$O$41,MATCH('без учета бимомента,один тяж'!$J123,'Геом. характеристики швеллера'!$A$6:$A$41,0))))/10-INDEX('Геом. характеристики швеллера'!$I$6:$I$41,MATCH('без учета бимомента,один тяж'!$J123,'Геом. характеристики швеллера'!$A$6:$A$41,0))</f>
        <v>974.74526422735073</v>
      </c>
      <c r="M123" s="50">
        <f>(8*$E$17*$E$19/($E$12^2))/(COS(M$110*PI()/180)/(INDEX('Геом. характеристики швеллера'!$K$6:$K$41,MATCH('без учета бимомента,один тяж'!$J123,'Геом. характеристики швеллера'!$A$6:$A$41,0)))+SIN(M$110*PI()/180)/(4*INDEX('Геом. характеристики швеллера'!$O$6:$O$41,MATCH('без учета бимомента,один тяж'!$J123,'Геом. характеристики швеллера'!$A$6:$A$41,0))))/10-INDEX('Геом. характеристики швеллера'!$I$6:$I$41,MATCH('без учета бимомента,один тяж'!$J123,'Геом. характеристики швеллера'!$A$6:$A$41,0))</f>
        <v>857.82572630033951</v>
      </c>
      <c r="N123" s="50">
        <f>(8*$E$17*$E$19/($E$12^2))/(COS(N$110*PI()/180)/(INDEX('Геом. характеристики швеллера'!$K$6:$K$41,MATCH('без учета бимомента,один тяж'!$J123,'Геом. характеристики швеллера'!$A$6:$A$41,0)))+SIN(N$110*PI()/180)/(4*INDEX('Геом. характеристики швеллера'!$O$6:$O$41,MATCH('без учета бимомента,один тяж'!$J123,'Геом. характеристики швеллера'!$A$6:$A$41,0))))/10-INDEX('Геом. характеристики швеллера'!$I$6:$I$41,MATCH('без учета бимомента,один тяж'!$J123,'Геом. характеристики швеллера'!$A$6:$A$41,0))</f>
        <v>770.82725600968604</v>
      </c>
      <c r="O123" s="50">
        <f>(8*$E$17*$E$19/($E$12^2))/(COS(O$110*PI()/180)/(INDEX('Геом. характеристики швеллера'!$K$6:$K$41,MATCH('без учета бимомента,один тяж'!$J123,'Геом. характеристики швеллера'!$A$6:$A$41,0)))+SIN(O$110*PI()/180)/(4*INDEX('Геом. характеристики швеллера'!$O$6:$O$41,MATCH('без учета бимомента,один тяж'!$J123,'Геом. характеристики швеллера'!$A$6:$A$41,0))))/10-INDEX('Геом. характеристики швеллера'!$I$6:$I$41,MATCH('без учета бимомента,один тяж'!$J123,'Геом. характеристики швеллера'!$A$6:$A$41,0))</f>
        <v>704.49981645809032</v>
      </c>
      <c r="P123" s="50">
        <f>(8*$E$17*$E$19/($E$12^2))/(COS(P$110*PI()/180)/(INDEX('Геом. характеристики швеллера'!$K$6:$K$41,MATCH('без учета бимомента,один тяж'!$J123,'Геом. характеристики швеллера'!$A$6:$A$41,0)))+SIN(P$110*PI()/180)/(4*INDEX('Геом. характеристики швеллера'!$O$6:$O$41,MATCH('без учета бимомента,один тяж'!$J123,'Геом. характеристики швеллера'!$A$6:$A$41,0))))/10-INDEX('Геом. характеристики швеллера'!$I$6:$I$41,MATCH('без учета бимомента,один тяж'!$J123,'Геом. характеристики швеллера'!$A$6:$A$41,0))</f>
        <v>653.14621856935685</v>
      </c>
      <c r="Q123" s="55">
        <f>(8*$E$17*$E$19/($E$12^2))/(COS(Q$110*PI()/180)/(INDEX('Геом. характеристики швеллера'!$K$6:$K$41,MATCH('без учета бимомента,один тяж'!$J123,'Геом. характеристики швеллера'!$A$6:$A$41,0)))+SIN(Q$110*PI()/180)/(4*INDEX('Геом. характеристики швеллера'!$O$6:$O$41,MATCH('без учета бимомента,один тяж'!$J123,'Геом. характеристики швеллера'!$A$6:$A$41,0))))/10-INDEX('Геом. характеристики швеллера'!$I$6:$I$41,MATCH('без учета бимомента,один тяж'!$J123,'Геом. характеристики швеллера'!$A$6:$A$41,0))</f>
        <v>613.08524381785469</v>
      </c>
      <c r="R123" s="11"/>
      <c r="S123" s="11"/>
    </row>
    <row r="124" spans="1:19" x14ac:dyDescent="0.25">
      <c r="I124" s="11"/>
      <c r="J124" s="40" t="s">
        <v>85</v>
      </c>
      <c r="K124" s="50">
        <f>(8*$E$17*$E$19/($E$12^2))/(COS(K$110*PI()/180)/(INDEX('Геом. характеристики швеллера'!$K$6:$K$41,MATCH('без учета бимомента,один тяж'!$J124,'Геом. характеристики швеллера'!$A$6:$A$41,0)))+SIN(K$110*PI()/180)/(4*INDEX('Геом. характеристики швеллера'!$O$6:$O$41,MATCH('без учета бимомента,один тяж'!$J124,'Геом. характеристики швеллера'!$A$6:$A$41,0))))/10-INDEX('Геом. характеристики швеллера'!$I$6:$I$41,MATCH('без учета бимомента,один тяж'!$J124,'Геом. характеристики швеллера'!$A$6:$A$41,0))</f>
        <v>1450.6999999999998</v>
      </c>
      <c r="L124" s="50">
        <f>(8*$E$17*$E$19/($E$12^2))/(COS(L$110*PI()/180)/(INDEX('Геом. характеристики швеллера'!$K$6:$K$41,MATCH('без учета бимомента,один тяж'!$J124,'Геом. характеристики швеллера'!$A$6:$A$41,0)))+SIN(L$110*PI()/180)/(4*INDEX('Геом. характеристики швеллера'!$O$6:$O$41,MATCH('без учета бимомента,один тяж'!$J124,'Геом. характеристики швеллера'!$A$6:$A$41,0))))/10-INDEX('Геом. характеристики швеллера'!$I$6:$I$41,MATCH('без учета бимомента,один тяж'!$J124,'Геом. характеристики швеллера'!$A$6:$A$41,0))</f>
        <v>1229.3209391565297</v>
      </c>
      <c r="M124" s="50">
        <f>(8*$E$17*$E$19/($E$12^2))/(COS(M$110*PI()/180)/(INDEX('Геом. характеристики швеллера'!$K$6:$K$41,MATCH('без учета бимомента,один тяж'!$J124,'Геом. характеристики швеллера'!$A$6:$A$41,0)))+SIN(M$110*PI()/180)/(4*INDEX('Геом. характеристики швеллера'!$O$6:$O$41,MATCH('без учета бимомента,один тяж'!$J124,'Геом. характеристики швеллера'!$A$6:$A$41,0))))/10-INDEX('Геом. характеристики швеллера'!$I$6:$I$41,MATCH('без учета бимомента,один тяж'!$J124,'Геом. характеристики швеллера'!$A$6:$A$41,0))</f>
        <v>1072.8919109079454</v>
      </c>
      <c r="N124" s="50">
        <f>(8*$E$17*$E$19/($E$12^2))/(COS(N$110*PI()/180)/(INDEX('Геом. характеристики швеллера'!$K$6:$K$41,MATCH('без учета бимомента,один тяж'!$J124,'Геом. характеристики швеллера'!$A$6:$A$41,0)))+SIN(N$110*PI()/180)/(4*INDEX('Геом. характеристики швеллера'!$O$6:$O$41,MATCH('без учета бимомента,один тяж'!$J124,'Геом. характеристики швеллера'!$A$6:$A$41,0))))/10-INDEX('Геом. характеристики швеллера'!$I$6:$I$41,MATCH('без учета бимомента,один тяж'!$J124,'Геом. характеристики швеллера'!$A$6:$A$41,0))</f>
        <v>957.75733689171443</v>
      </c>
      <c r="O124" s="50">
        <f>(8*$E$17*$E$19/($E$12^2))/(COS(O$110*PI()/180)/(INDEX('Геом. характеристики швеллера'!$K$6:$K$41,MATCH('без учета бимомента,один тяж'!$J124,'Геом. характеристики швеллера'!$A$6:$A$41,0)))+SIN(O$110*PI()/180)/(4*INDEX('Геом. характеристики швеллера'!$O$6:$O$41,MATCH('без учета бимомента,один тяж'!$J124,'Геом. характеристики швеллера'!$A$6:$A$41,0))))/10-INDEX('Геом. характеристики швеллера'!$I$6:$I$41,MATCH('без учета бимомента,один тяж'!$J124,'Геом. характеристики швеллера'!$A$6:$A$41,0))</f>
        <v>870.61953428986556</v>
      </c>
      <c r="P124" s="50">
        <f>(8*$E$17*$E$19/($E$12^2))/(COS(P$110*PI()/180)/(INDEX('Геом. характеристики швеллера'!$K$6:$K$41,MATCH('без учета бимомента,один тяж'!$J124,'Геом. характеристики швеллера'!$A$6:$A$41,0)))+SIN(P$110*PI()/180)/(4*INDEX('Геом. характеристики швеллера'!$O$6:$O$41,MATCH('без учета бимомента,один тяж'!$J124,'Геом. характеристики швеллера'!$A$6:$A$41,0))))/10-INDEX('Геом. характеристики швеллера'!$I$6:$I$41,MATCH('без учета бимомента,один тяж'!$J124,'Геом. характеристики швеллера'!$A$6:$A$41,0))</f>
        <v>803.45158551045199</v>
      </c>
      <c r="Q124" s="55">
        <f>(8*$E$17*$E$19/($E$12^2))/(COS(Q$110*PI()/180)/(INDEX('Геом. характеристики швеллера'!$K$6:$K$41,MATCH('без учета бимомента,один тяж'!$J124,'Геом. характеристики швеллера'!$A$6:$A$41,0)))+SIN(Q$110*PI()/180)/(4*INDEX('Геом. характеристики швеллера'!$O$6:$O$41,MATCH('без учета бимомента,один тяж'!$J124,'Геом. характеристики швеллера'!$A$6:$A$41,0))))/10-INDEX('Геом. характеристики швеллера'!$I$6:$I$41,MATCH('без учета бимомента,один тяж'!$J124,'Геом. характеристики швеллера'!$A$6:$A$41,0))</f>
        <v>751.14435137727128</v>
      </c>
      <c r="R124" s="11"/>
      <c r="S124" s="11"/>
    </row>
    <row r="125" spans="1:19" x14ac:dyDescent="0.25">
      <c r="A125" s="2" t="s">
        <v>274</v>
      </c>
      <c r="I125" s="11"/>
      <c r="J125" s="40" t="s">
        <v>86</v>
      </c>
      <c r="K125" s="50">
        <f>(8*$E$17*$E$19/($E$12^2))/(COS(K$110*PI()/180)/(INDEX('Геом. характеристики швеллера'!$K$6:$K$41,MATCH('без учета бимомента,один тяж'!$J125,'Геом. характеристики швеллера'!$A$6:$A$41,0)))+SIN(K$110*PI()/180)/(4*INDEX('Геом. характеристики швеллера'!$O$6:$O$41,MATCH('без учета бимомента,один тяж'!$J125,'Геом. характеристики швеллера'!$A$6:$A$41,0))))/10-INDEX('Геом. характеристики швеллера'!$I$6:$I$41,MATCH('без учета бимомента,один тяж'!$J125,'Геом. характеристики швеллера'!$A$6:$A$41,0))</f>
        <v>1825.8</v>
      </c>
      <c r="L125" s="50">
        <f>(8*$E$17*$E$19/($E$12^2))/(COS(L$110*PI()/180)/(INDEX('Геом. характеристики швеллера'!$K$6:$K$41,MATCH('без учета бимомента,один тяж'!$J125,'Геом. характеристики швеллера'!$A$6:$A$41,0)))+SIN(L$110*PI()/180)/(4*INDEX('Геом. характеристики швеллера'!$O$6:$O$41,MATCH('без учета бимомента,один тяж'!$J125,'Геом. характеристики швеллера'!$A$6:$A$41,0))))/10-INDEX('Геом. характеристики швеллера'!$I$6:$I$41,MATCH('без учета бимомента,один тяж'!$J125,'Геом. характеристики швеллера'!$A$6:$A$41,0))</f>
        <v>1529.7378964224054</v>
      </c>
      <c r="M125" s="50">
        <f>(8*$E$17*$E$19/($E$12^2))/(COS(M$110*PI()/180)/(INDEX('Геом. характеристики швеллера'!$K$6:$K$41,MATCH('без учета бимомента,один тяж'!$J125,'Геом. характеристики швеллера'!$A$6:$A$41,0)))+SIN(M$110*PI()/180)/(4*INDEX('Геом. характеристики швеллера'!$O$6:$O$41,MATCH('без учета бимомента,один тяж'!$J125,'Геом. характеристики швеллера'!$A$6:$A$41,0))))/10-INDEX('Геом. характеристики швеллера'!$I$6:$I$41,MATCH('без учета бимомента,один тяж'!$J125,'Геом. характеристики швеллера'!$A$6:$A$41,0))</f>
        <v>1323.9744249008343</v>
      </c>
      <c r="N125" s="50">
        <f>(8*$E$17*$E$19/($E$12^2))/(COS(N$110*PI()/180)/(INDEX('Геом. характеристики швеллера'!$K$6:$K$41,MATCH('без учета бимомента,один тяж'!$J125,'Геом. характеристики швеллера'!$A$6:$A$41,0)))+SIN(N$110*PI()/180)/(4*INDEX('Геом. характеристики швеллера'!$O$6:$O$41,MATCH('без учета бимомента,один тяж'!$J125,'Геом. характеристики швеллера'!$A$6:$A$41,0))))/10-INDEX('Геом. характеристики швеллера'!$I$6:$I$41,MATCH('без учета бимомента,один тяж'!$J125,'Геом. характеристики швеллера'!$A$6:$A$41,0))</f>
        <v>1174.2342338857104</v>
      </c>
      <c r="O125" s="50">
        <f>(8*$E$17*$E$19/($E$12^2))/(COS(O$110*PI()/180)/(INDEX('Геом. характеристики швеллера'!$K$6:$K$41,MATCH('без учета бимомента,один тяж'!$J125,'Геом. характеристики швеллера'!$A$6:$A$41,0)))+SIN(O$110*PI()/180)/(4*INDEX('Геом. характеристики швеллера'!$O$6:$O$41,MATCH('без учета бимомента,один тяж'!$J125,'Геом. характеристики швеллера'!$A$6:$A$41,0))))/10-INDEX('Геом. характеристики швеллера'!$I$6:$I$41,MATCH('без учета бимомента,один тяж'!$J125,'Геом. характеристики швеллера'!$A$6:$A$41,0))</f>
        <v>1061.7756802699282</v>
      </c>
      <c r="P125" s="50">
        <f>(8*$E$17*$E$19/($E$12^2))/(COS(P$110*PI()/180)/(INDEX('Геом. характеристики швеллера'!$K$6:$K$41,MATCH('без учета бимомента,один тяж'!$J125,'Геом. характеристики швеллера'!$A$6:$A$41,0)))+SIN(P$110*PI()/180)/(4*INDEX('Геом. характеристики швеллера'!$O$6:$O$41,MATCH('без учета бимомента,один тяж'!$J125,'Геом. характеристики швеллера'!$A$6:$A$41,0))))/10-INDEX('Геом. характеристики швеллера'!$I$6:$I$41,MATCH('без учета бимомента,один тяж'!$J125,'Геом. характеристики швеллера'!$A$6:$A$41,0))</f>
        <v>975.51342365341554</v>
      </c>
      <c r="Q125" s="55">
        <f>(8*$E$17*$E$19/($E$12^2))/(COS(Q$110*PI()/180)/(INDEX('Геом. характеристики швеллера'!$K$6:$K$41,MATCH('без учета бимомента,один тяж'!$J125,'Геом. характеристики швеллера'!$A$6:$A$41,0)))+SIN(Q$110*PI()/180)/(4*INDEX('Геом. характеристики швеллера'!$O$6:$O$41,MATCH('без учета бимомента,один тяж'!$J125,'Геом. характеристики швеллера'!$A$6:$A$41,0))))/10-INDEX('Геом. характеристики швеллера'!$I$6:$I$41,MATCH('без учета бимомента,один тяж'!$J125,'Геом. характеристики швеллера'!$A$6:$A$41,0))</f>
        <v>908.49808134367458</v>
      </c>
      <c r="R125" s="11"/>
      <c r="S125" s="11"/>
    </row>
    <row r="126" spans="1:19" x14ac:dyDescent="0.25">
      <c r="I126" s="11"/>
      <c r="J126" s="40" t="s">
        <v>87</v>
      </c>
      <c r="K126" s="50">
        <f>(8*$E$17*$E$19/($E$12^2))/(COS(K$110*PI()/180)/(INDEX('Геом. характеристики швеллера'!$K$6:$K$41,MATCH('без учета бимомента,один тяж'!$J126,'Геом. характеристики швеллера'!$A$6:$A$41,0)))+SIN(K$110*PI()/180)/(4*INDEX('Геом. характеристики швеллера'!$O$6:$O$41,MATCH('без учета бимомента,один тяж'!$J126,'Геом. характеристики швеллера'!$A$6:$A$41,0))))/10-INDEX('Геом. характеристики швеллера'!$I$6:$I$41,MATCH('без учета бимомента,один тяж'!$J126,'Геом. характеристики швеллера'!$A$6:$A$41,0))</f>
        <v>2286.6999999999998</v>
      </c>
      <c r="L126" s="50">
        <f>(8*$E$17*$E$19/($E$12^2))/(COS(L$110*PI()/180)/(INDEX('Геом. характеристики швеллера'!$K$6:$K$41,MATCH('без учета бимомента,один тяж'!$J126,'Геом. характеристики швеллера'!$A$6:$A$41,0)))+SIN(L$110*PI()/180)/(4*INDEX('Геом. характеристики швеллера'!$O$6:$O$41,MATCH('без учета бимомента,один тяж'!$J126,'Геом. характеристики швеллера'!$A$6:$A$41,0))))/10-INDEX('Геом. характеристики швеллера'!$I$6:$I$41,MATCH('без учета бимомента,один тяж'!$J126,'Геом. характеристики швеллера'!$A$6:$A$41,0))</f>
        <v>1899.851065381891</v>
      </c>
      <c r="M126" s="50">
        <f>(8*$E$17*$E$19/($E$12^2))/(COS(M$110*PI()/180)/(INDEX('Геом. характеристики швеллера'!$K$6:$K$41,MATCH('без учета бимомента,один тяж'!$J126,'Геом. характеристики швеллера'!$A$6:$A$41,0)))+SIN(M$110*PI()/180)/(4*INDEX('Геом. характеристики швеллера'!$O$6:$O$41,MATCH('без учета бимомента,один тяж'!$J126,'Геом. характеристики швеллера'!$A$6:$A$41,0))))/10-INDEX('Геом. характеристики швеллера'!$I$6:$I$41,MATCH('без учета бимомента,один тяж'!$J126,'Геом. характеристики швеллера'!$A$6:$A$41,0))</f>
        <v>1634.3454523280234</v>
      </c>
      <c r="N126" s="50">
        <f>(8*$E$17*$E$19/($E$12^2))/(COS(N$110*PI()/180)/(INDEX('Геом. характеристики швеллера'!$K$6:$K$41,MATCH('без учета бимомента,один тяж'!$J126,'Геом. характеристики швеллера'!$A$6:$A$41,0)))+SIN(N$110*PI()/180)/(4*INDEX('Геом. характеристики швеллера'!$O$6:$O$41,MATCH('без учета бимомента,один тяж'!$J126,'Геом. характеристики швеллера'!$A$6:$A$41,0))))/10-INDEX('Геом. характеристики швеллера'!$I$6:$I$41,MATCH('без учета бимомента,один тяж'!$J126,'Геом. характеристики швеллера'!$A$6:$A$41,0))</f>
        <v>1442.7711660658872</v>
      </c>
      <c r="O126" s="50">
        <f>(8*$E$17*$E$19/($E$12^2))/(COS(O$110*PI()/180)/(INDEX('Геом. характеристики швеллера'!$K$6:$K$41,MATCH('без учета бимомента,один тяж'!$J126,'Геом. характеристики швеллера'!$A$6:$A$41,0)))+SIN(O$110*PI()/180)/(4*INDEX('Геом. характеристики швеллера'!$O$6:$O$41,MATCH('без учета бимомента,один тяж'!$J126,'Геом. характеристики швеллера'!$A$6:$A$41,0))))/10-INDEX('Геом. характеристики швеллера'!$I$6:$I$41,MATCH('без учета бимомента,один тяж'!$J126,'Геом. характеристики швеллера'!$A$6:$A$41,0))</f>
        <v>1299.7321975125064</v>
      </c>
      <c r="P126" s="50">
        <f>(8*$E$17*$E$19/($E$12^2))/(COS(P$110*PI()/180)/(INDEX('Геом. характеристики швеллера'!$K$6:$K$41,MATCH('без учета бимомента,один тяж'!$J126,'Геом. характеристики швеллера'!$A$6:$A$41,0)))+SIN(P$110*PI()/180)/(4*INDEX('Геом. характеристики швеллера'!$O$6:$O$41,MATCH('без учета бимомента,один тяж'!$J126,'Геом. характеристики швеллера'!$A$6:$A$41,0))))/10-INDEX('Геом. характеристики швеллера'!$I$6:$I$41,MATCH('без учета бимомента,один тяж'!$J126,'Геом. характеристики швеллера'!$A$6:$A$41,0))</f>
        <v>1190.4310834610433</v>
      </c>
      <c r="Q126" s="55">
        <f>(8*$E$17*$E$19/($E$12^2))/(COS(Q$110*PI()/180)/(INDEX('Геом. характеристики швеллера'!$K$6:$K$41,MATCH('без учета бимомента,один тяж'!$J126,'Геом. характеристики швеллера'!$A$6:$A$41,0)))+SIN(Q$110*PI()/180)/(4*INDEX('Геом. характеристики швеллера'!$O$6:$O$41,MATCH('без учета бимомента,один тяж'!$J126,'Геом. характеристики швеллера'!$A$6:$A$41,0))))/10-INDEX('Геом. характеристики швеллера'!$I$6:$I$41,MATCH('без учета бимомента,один тяж'!$J126,'Геом. характеристики швеллера'!$A$6:$A$41,0))</f>
        <v>1105.6946431409169</v>
      </c>
      <c r="R126" s="11"/>
      <c r="S126" s="11"/>
    </row>
    <row r="127" spans="1:19" x14ac:dyDescent="0.25">
      <c r="I127" s="11"/>
      <c r="J127" s="40" t="s">
        <v>88</v>
      </c>
      <c r="K127" s="50">
        <f>(8*$E$17*$E$19/($E$12^2))/(COS(K$110*PI()/180)/(INDEX('Геом. характеристики швеллера'!$K$6:$K$41,MATCH('без учета бимомента,один тяж'!$J127,'Геом. характеристики швеллера'!$A$6:$A$41,0)))+SIN(K$110*PI()/180)/(4*INDEX('Геом. характеристики швеллера'!$O$6:$O$41,MATCH('без учета бимомента,один тяж'!$J127,'Геом. характеристики швеллера'!$A$6:$A$41,0))))/10-INDEX('Геом. характеристики швеллера'!$I$6:$I$41,MATCH('без учета бимомента,один тяж'!$J127,'Геом. характеристики швеллера'!$A$6:$A$41,0))</f>
        <v>2842.9</v>
      </c>
      <c r="L127" s="50">
        <f>(8*$E$17*$E$19/($E$12^2))/(COS(L$110*PI()/180)/(INDEX('Геом. характеристики швеллера'!$K$6:$K$41,MATCH('без учета бимомента,один тяж'!$J127,'Геом. характеристики швеллера'!$A$6:$A$41,0)))+SIN(L$110*PI()/180)/(4*INDEX('Геом. характеристики швеллера'!$O$6:$O$41,MATCH('без учета бимомента,один тяж'!$J127,'Геом. характеристики швеллера'!$A$6:$A$41,0))))/10-INDEX('Геом. характеристики швеллера'!$I$6:$I$41,MATCH('без учета бимомента,один тяж'!$J127,'Геом. характеристики швеллера'!$A$6:$A$41,0))</f>
        <v>2345.3222761922593</v>
      </c>
      <c r="M127" s="50">
        <f>(8*$E$17*$E$19/($E$12^2))/(COS(M$110*PI()/180)/(INDEX('Геом. характеристики швеллера'!$K$6:$K$41,MATCH('без учета бимомента,один тяж'!$J127,'Геом. характеристики швеллера'!$A$6:$A$41,0)))+SIN(M$110*PI()/180)/(4*INDEX('Геом. характеристики швеллера'!$O$6:$O$41,MATCH('без учета бимомента,один тяж'!$J127,'Геом. характеристики швеллера'!$A$6:$A$41,0))))/10-INDEX('Геом. характеристики швеллера'!$I$6:$I$41,MATCH('без учета бимомента,один тяж'!$J127,'Геом. характеристики швеллера'!$A$6:$A$41,0))</f>
        <v>2007.4430534192952</v>
      </c>
      <c r="N127" s="50">
        <f>(8*$E$17*$E$19/($E$12^2))/(COS(N$110*PI()/180)/(INDEX('Геом. характеристики швеллера'!$K$6:$K$41,MATCH('без учета бимомента,один тяж'!$J127,'Геом. характеристики швеллера'!$A$6:$A$41,0)))+SIN(N$110*PI()/180)/(4*INDEX('Геом. характеристики швеллера'!$O$6:$O$41,MATCH('без учета бимомента,один тяж'!$J127,'Геом. характеристики швеллера'!$A$6:$A$41,0))))/10-INDEX('Геом. характеристики швеллера'!$I$6:$I$41,MATCH('без учета бимомента,один тяж'!$J127,'Геом. характеристики швеллера'!$A$6:$A$41,0))</f>
        <v>1765.3988336702207</v>
      </c>
      <c r="O127" s="50">
        <f>(8*$E$17*$E$19/($E$12^2))/(COS(O$110*PI()/180)/(INDEX('Геом. характеристики швеллера'!$K$6:$K$41,MATCH('без учета бимомента,один тяж'!$J127,'Геом. характеристики швеллера'!$A$6:$A$41,0)))+SIN(O$110*PI()/180)/(4*INDEX('Геом. характеристики швеллера'!$O$6:$O$41,MATCH('без учета бимомента,один тяж'!$J127,'Геом. характеристики швеллера'!$A$6:$A$41,0))))/10-INDEX('Геом. характеристики швеллера'!$I$6:$I$41,MATCH('без учета бимомента,один тяж'!$J127,'Геом. характеристики швеллера'!$A$6:$A$41,0))</f>
        <v>1585.5675780143786</v>
      </c>
      <c r="P127" s="50">
        <f>(8*$E$17*$E$19/($E$12^2))/(COS(P$110*PI()/180)/(INDEX('Геом. характеристики швеллера'!$K$6:$K$41,MATCH('без учета бимомента,один тяж'!$J127,'Геом. характеристики швеллера'!$A$6:$A$41,0)))+SIN(P$110*PI()/180)/(4*INDEX('Геом. характеристики швеллера'!$O$6:$O$41,MATCH('без учета бимомента,один тяж'!$J127,'Геом. характеристики швеллера'!$A$6:$A$41,0))))/10-INDEX('Геом. характеристики швеллера'!$I$6:$I$41,MATCH('без учета бимомента,один тяж'!$J127,'Геом. характеристики швеллера'!$A$6:$A$41,0))</f>
        <v>1448.6020986915207</v>
      </c>
      <c r="Q127" s="55">
        <f>(8*$E$17*$E$19/($E$12^2))/(COS(Q$110*PI()/180)/(INDEX('Геом. характеристики швеллера'!$K$6:$K$41,MATCH('без учета бимомента,один тяж'!$J127,'Геом. характеристики швеллера'!$A$6:$A$41,0)))+SIN(Q$110*PI()/180)/(4*INDEX('Геом. характеристики швеллера'!$O$6:$O$41,MATCH('без учета бимомента,один тяж'!$J127,'Геом. характеристики швеллера'!$A$6:$A$41,0))))/10-INDEX('Геом. характеристики швеллера'!$I$6:$I$41,MATCH('без учета бимомента,один тяж'!$J127,'Геом. характеристики швеллера'!$A$6:$A$41,0))</f>
        <v>1342.6198081862535</v>
      </c>
      <c r="R127" s="11"/>
      <c r="S127" s="11"/>
    </row>
    <row r="128" spans="1:19" ht="16.5" thickBot="1" x14ac:dyDescent="0.3">
      <c r="I128" s="11"/>
      <c r="J128" s="41" t="s">
        <v>89</v>
      </c>
      <c r="K128" s="56">
        <f>(8*$E$17*$E$19/($E$12^2))/(COS(K$110*PI()/180)/(INDEX('Геом. характеристики швеллера'!$K$6:$K$41,MATCH('без учета бимомента,один тяж'!$J128,'Геом. характеристики швеллера'!$A$6:$A$41,0)))+SIN(K$110*PI()/180)/(4*INDEX('Геом. характеристики швеллера'!$O$6:$O$41,MATCH('без учета бимомента,один тяж'!$J128,'Геом. характеристики швеллера'!$A$6:$A$41,0))))/10-INDEX('Геом. характеристики швеллера'!$I$6:$I$41,MATCH('без учета бимомента,один тяж'!$J128,'Геом. характеристики швеллера'!$A$6:$A$41,0))</f>
        <v>3604.5</v>
      </c>
      <c r="L128" s="56">
        <f>(8*$E$17*$E$19/($E$12^2))/(COS(L$110*PI()/180)/(INDEX('Геом. характеристики швеллера'!$K$6:$K$41,MATCH('без учета бимомента,один тяж'!$J128,'Геом. характеристики швеллера'!$A$6:$A$41,0)))+SIN(L$110*PI()/180)/(4*INDEX('Геом. характеристики швеллера'!$O$6:$O$41,MATCH('без учета бимомента,один тяж'!$J128,'Геом. характеристики швеллера'!$A$6:$A$41,0))))/10-INDEX('Геом. характеристики швеллера'!$I$6:$I$41,MATCH('без учета бимомента,один тяж'!$J128,'Геом. характеристики швеллера'!$A$6:$A$41,0))</f>
        <v>2940.6557433500238</v>
      </c>
      <c r="M128" s="56">
        <f>(8*$E$17*$E$19/($E$12^2))/(COS(M$110*PI()/180)/(INDEX('Геом. характеристики швеллера'!$K$6:$K$41,MATCH('без учета бимомента,один тяж'!$J128,'Геом. характеристики швеллера'!$A$6:$A$41,0)))+SIN(M$110*PI()/180)/(4*INDEX('Геом. характеристики швеллера'!$O$6:$O$41,MATCH('без учета бимомента,один тяж'!$J128,'Геом. характеристики швеллера'!$A$6:$A$41,0))))/10-INDEX('Геом. характеристики швеллера'!$I$6:$I$41,MATCH('без учета бимомента,один тяж'!$J128,'Геом. характеристики швеллера'!$A$6:$A$41,0))</f>
        <v>2497.3875840279989</v>
      </c>
      <c r="N128" s="56">
        <f>(8*$E$17*$E$19/($E$12^2))/(COS(N$110*PI()/180)/(INDEX('Геом. характеристики швеллера'!$K$6:$K$41,MATCH('без учета бимомента,один тяж'!$J128,'Геом. характеристики швеллера'!$A$6:$A$41,0)))+SIN(N$110*PI()/180)/(4*INDEX('Геом. характеристики швеллера'!$O$6:$O$41,MATCH('без учета бимомента,один тяж'!$J128,'Геом. характеристики швеллера'!$A$6:$A$41,0))))/10-INDEX('Геом. характеристики швеллера'!$I$6:$I$41,MATCH('без учета бимомента,один тяж'!$J128,'Геом. характеристики швеллера'!$A$6:$A$41,0))</f>
        <v>2183.4057524858581</v>
      </c>
      <c r="O128" s="56">
        <f>(8*$E$17*$E$19/($E$12^2))/(COS(O$110*PI()/180)/(INDEX('Геом. характеристики швеллера'!$K$6:$K$41,MATCH('без учета бимомента,один тяж'!$J128,'Геом. характеристики швеллера'!$A$6:$A$41,0)))+SIN(O$110*PI()/180)/(4*INDEX('Геом. характеристики швеллера'!$O$6:$O$41,MATCH('без учета бимомента,один тяж'!$J128,'Геом. характеристики швеллера'!$A$6:$A$41,0))))/10-INDEX('Геом. характеристики швеллера'!$I$6:$I$41,MATCH('без учета бимомента,один тяж'!$J128,'Геом. характеристики швеллера'!$A$6:$A$41,0))</f>
        <v>1951.9236505040151</v>
      </c>
      <c r="P128" s="56">
        <f>(8*$E$17*$E$19/($E$12^2))/(COS(P$110*PI()/180)/(INDEX('Геом. характеристики швеллера'!$K$6:$K$41,MATCH('без учета бимомента,один тяж'!$J128,'Геом. характеристики швеллера'!$A$6:$A$41,0)))+SIN(P$110*PI()/180)/(4*INDEX('Геом. характеристики швеллера'!$O$6:$O$41,MATCH('без учета бимомента,один тяж'!$J128,'Геом. характеристики швеллера'!$A$6:$A$41,0))))/10-INDEX('Геом. характеристики швеллера'!$I$6:$I$41,MATCH('без учета бимомента,один тяж'!$J128,'Геом. характеристики швеллера'!$A$6:$A$41,0))</f>
        <v>1776.5322867731434</v>
      </c>
      <c r="Q128" s="57">
        <f>(8*$E$17*$E$19/($E$12^2))/(COS(Q$110*PI()/180)/(INDEX('Геом. характеристики швеллера'!$K$6:$K$41,MATCH('без учета бимомента,один тяж'!$J128,'Геом. характеристики швеллера'!$A$6:$A$41,0)))+SIN(Q$110*PI()/180)/(4*INDEX('Геом. характеристики швеллера'!$O$6:$O$41,MATCH('без учета бимомента,один тяж'!$J128,'Геом. характеристики швеллера'!$A$6:$A$41,0))))/10-INDEX('Геом. характеристики швеллера'!$I$6:$I$41,MATCH('без учета бимомента,один тяж'!$J128,'Геом. характеристики швеллера'!$A$6:$A$41,0))</f>
        <v>1641.2417691199923</v>
      </c>
      <c r="R128" s="11"/>
      <c r="S128" s="11"/>
    </row>
    <row r="129" spans="1:19" ht="16.5" customHeight="1" x14ac:dyDescent="0.25">
      <c r="A129" s="2" t="s">
        <v>275</v>
      </c>
      <c r="I129" s="11"/>
      <c r="J129" s="60" t="s">
        <v>189</v>
      </c>
      <c r="K129" s="61">
        <f>(8*$E$17*$E$19/($E$12^2))/(COS(K$110*PI()/180)/(INDEX('Геом. характеристики швеллера'!$K$6:$K$41,MATCH('без учета бимомента,один тяж'!$J129,'Геом. характеристики швеллера'!$A$6:$A$41,0)))+SIN(K$110*PI()/180)/(4*INDEX('Геом. характеристики швеллера'!$O$6:$O$41,MATCH('без учета бимомента,один тяж'!$J129,'Геом. характеристики швеллера'!$A$6:$A$41,0))))/10-INDEX('Геом. характеристики швеллера'!$I$6:$I$41,MATCH('без учета бимомента,один тяж'!$J129,'Геом. характеристики швеллера'!$A$6:$A$41,0))</f>
        <v>38.840000000000003</v>
      </c>
      <c r="L129" s="61">
        <f>(8*$E$17*$E$19/($E$12^2))/(COS(L$110*PI()/180)/(INDEX('Геом. характеристики швеллера'!$K$6:$K$41,MATCH('без учета бимомента,один тяж'!$J129,'Геом. характеристики швеллера'!$A$6:$A$41,0)))+SIN(L$110*PI()/180)/(4*INDEX('Геом. характеристики швеллера'!$O$6:$O$41,MATCH('без учета бимомента,один тяж'!$J129,'Геом. характеристики швеллера'!$A$6:$A$41,0))))/10-INDEX('Геом. характеристики швеллера'!$I$6:$I$41,MATCH('без учета бимомента,один тяж'!$J129,'Геом. характеристики швеллера'!$A$6:$A$41,0))</f>
        <v>36.270245804073383</v>
      </c>
      <c r="M129" s="61">
        <f>(8*$E$17*$E$19/($E$12^2))/(COS(M$110*PI()/180)/(INDEX('Геом. характеристики швеллера'!$K$6:$K$41,MATCH('без учета бимомента,один тяж'!$J129,'Геом. характеристики швеллера'!$A$6:$A$41,0)))+SIN(M$110*PI()/180)/(4*INDEX('Геом. характеристики швеллера'!$O$6:$O$41,MATCH('без учета бимомента,один тяж'!$J129,'Геом. характеристики швеллера'!$A$6:$A$41,0))))/10-INDEX('Геом. характеристики швеллера'!$I$6:$I$41,MATCH('без учета бимомента,один тяж'!$J129,'Геом. характеристики швеллера'!$A$6:$A$41,0))</f>
        <v>34.26714777279183</v>
      </c>
      <c r="N129" s="61">
        <f>(8*$E$17*$E$19/($E$12^2))/(COS(N$110*PI()/180)/(INDEX('Геом. характеристики швеллера'!$K$6:$K$41,MATCH('без учета бимомента,один тяж'!$J129,'Геом. характеристики швеллера'!$A$6:$A$41,0)))+SIN(N$110*PI()/180)/(4*INDEX('Геом. характеристики швеллера'!$O$6:$O$41,MATCH('без учета бимомента,один тяж'!$J129,'Геом. характеристики швеллера'!$A$6:$A$41,0))))/10-INDEX('Геом. характеристики швеллера'!$I$6:$I$41,MATCH('без учета бимомента,один тяж'!$J129,'Геом. характеристики швеллера'!$A$6:$A$41,0))</f>
        <v>32.722775737457823</v>
      </c>
      <c r="O129" s="61">
        <f>(8*$E$17*$E$19/($E$12^2))/(COS(O$110*PI()/180)/(INDEX('Геом. характеристики швеллера'!$K$6:$K$41,MATCH('без учета бимомента,один тяж'!$J129,'Геом. характеристики швеллера'!$A$6:$A$41,0)))+SIN(O$110*PI()/180)/(4*INDEX('Геом. характеристики швеллера'!$O$6:$O$41,MATCH('без учета бимомента,один тяж'!$J129,'Геом. характеристики швеллера'!$A$6:$A$41,0))))/10-INDEX('Геом. характеристики швеллера'!$I$6:$I$41,MATCH('без учета бимомента,один тяж'!$J129,'Геом. характеристики швеллера'!$A$6:$A$41,0))</f>
        <v>31.562264872059995</v>
      </c>
      <c r="P129" s="61">
        <f>(8*$E$17*$E$19/($E$12^2))/(COS(P$110*PI()/180)/(INDEX('Геом. характеристики швеллера'!$K$6:$K$41,MATCH('без учета бимомента,один тяж'!$J129,'Геом. характеристики швеллера'!$A$6:$A$41,0)))+SIN(P$110*PI()/180)/(4*INDEX('Геом. характеристики швеллера'!$O$6:$O$41,MATCH('без учета бимомента,один тяж'!$J129,'Геом. характеристики швеллера'!$A$6:$A$41,0))))/10-INDEX('Геом. характеристики швеллера'!$I$6:$I$41,MATCH('без учета бимомента,один тяж'!$J129,'Геом. характеристики швеллера'!$A$6:$A$41,0))</f>
        <v>30.733938751087766</v>
      </c>
      <c r="Q129" s="61">
        <f>(8*$E$17*$E$19/($E$12^2))/(COS(Q$110*PI()/180)/(INDEX('Геом. характеристики швеллера'!$K$6:$K$41,MATCH('без учета бимомента,один тяж'!$J129,'Геом. характеристики швеллера'!$A$6:$A$41,0)))+SIN(Q$110*PI()/180)/(4*INDEX('Геом. характеристики швеллера'!$O$6:$O$41,MATCH('без учета бимомента,один тяж'!$J129,'Геом. характеристики швеллера'!$A$6:$A$41,0))))/10-INDEX('Геом. характеристики швеллера'!$I$6:$I$41,MATCH('без учета бимомента,один тяж'!$J129,'Геом. характеристики швеллера'!$A$6:$A$41,0))</f>
        <v>30.203237222358663</v>
      </c>
      <c r="R129" s="11"/>
      <c r="S129" s="11"/>
    </row>
    <row r="130" spans="1:19" x14ac:dyDescent="0.25">
      <c r="I130" s="11"/>
      <c r="J130" s="40" t="s">
        <v>192</v>
      </c>
      <c r="K130" s="50">
        <f>(8*$E$17*$E$19/($E$12^2))/(COS(K$110*PI()/180)/(INDEX('Геом. характеристики швеллера'!$K$6:$K$41,MATCH('без учета бимомента,один тяж'!$J130,'Геом. характеристики швеллера'!$A$6:$A$41,0)))+SIN(K$110*PI()/180)/(4*INDEX('Геом. характеристики швеллера'!$O$6:$O$41,MATCH('без учета бимомента,один тяж'!$J130,'Геом. характеристики швеллера'!$A$6:$A$41,0))))/10-INDEX('Геом. характеристики швеллера'!$I$6:$I$41,MATCH('без учета бимомента,один тяж'!$J130,'Геом. характеристики швеллера'!$A$6:$A$41,0))</f>
        <v>66.099999999999994</v>
      </c>
      <c r="L130" s="50">
        <f>(8*$E$17*$E$19/($E$12^2))/(COS(L$110*PI()/180)/(INDEX('Геом. характеристики швеллера'!$K$6:$K$41,MATCH('без учета бимомента,один тяж'!$J130,'Геом. характеристики швеллера'!$A$6:$A$41,0)))+SIN(L$110*PI()/180)/(4*INDEX('Геом. характеристики швеллера'!$O$6:$O$41,MATCH('без учета бимомента,один тяж'!$J130,'Геом. характеристики швеллера'!$A$6:$A$41,0))))/10-INDEX('Геом. характеристики швеллера'!$I$6:$I$41,MATCH('без учета бимомента,один тяж'!$J130,'Геом. характеристики швеллера'!$A$6:$A$41,0))</f>
        <v>60.9712622650706</v>
      </c>
      <c r="M130" s="50">
        <f>(8*$E$17*$E$19/($E$12^2))/(COS(M$110*PI()/180)/(INDEX('Геом. характеристики швеллера'!$K$6:$K$41,MATCH('без учета бимомента,один тяж'!$J130,'Геом. характеристики швеллера'!$A$6:$A$41,0)))+SIN(M$110*PI()/180)/(4*INDEX('Геом. характеристики швеллера'!$O$6:$O$41,MATCH('без учета бимомента,один тяж'!$J130,'Геом. характеристики швеллера'!$A$6:$A$41,0))))/10-INDEX('Геом. характеристики швеллера'!$I$6:$I$41,MATCH('без учета бимомента,один тяж'!$J130,'Геом. характеристики швеллера'!$A$6:$A$41,0))</f>
        <v>56.97127454117534</v>
      </c>
      <c r="N130" s="50">
        <f>(8*$E$17*$E$19/($E$12^2))/(COS(N$110*PI()/180)/(INDEX('Геом. характеристики швеллера'!$K$6:$K$41,MATCH('без учета бимомента,один тяж'!$J130,'Геом. характеристики швеллера'!$A$6:$A$41,0)))+SIN(N$110*PI()/180)/(4*INDEX('Геом. характеристики швеллера'!$O$6:$O$41,MATCH('без учета бимомента,один тяж'!$J130,'Геом. характеристики швеллера'!$A$6:$A$41,0))))/10-INDEX('Геом. характеристики швеллера'!$I$6:$I$41,MATCH('без учета бимомента,один тяж'!$J130,'Геом. характеристики швеллера'!$A$6:$A$41,0))</f>
        <v>53.851888941416384</v>
      </c>
      <c r="O130" s="50">
        <f>(8*$E$17*$E$19/($E$12^2))/(COS(O$110*PI()/180)/(INDEX('Геом. характеристики швеллера'!$K$6:$K$41,MATCH('без учета бимомента,один тяж'!$J130,'Геом. характеристики швеллера'!$A$6:$A$41,0)))+SIN(O$110*PI()/180)/(4*INDEX('Геом. характеристики швеллера'!$O$6:$O$41,MATCH('без учета бимомента,один тяж'!$J130,'Геом. характеристики швеллера'!$A$6:$A$41,0))))/10-INDEX('Геом. характеристики швеллера'!$I$6:$I$41,MATCH('без учета бимомента,один тяж'!$J130,'Геом. характеристики швеллера'!$A$6:$A$41,0))</f>
        <v>51.443197637602509</v>
      </c>
      <c r="P130" s="50">
        <f>(8*$E$17*$E$19/($E$12^2))/(COS(P$110*PI()/180)/(INDEX('Геом. характеристики швеллера'!$K$6:$K$41,MATCH('без учета бимомента,один тяж'!$J130,'Геом. характеристики швеллера'!$A$6:$A$41,0)))+SIN(P$110*PI()/180)/(4*INDEX('Геом. характеристики швеллера'!$O$6:$O$41,MATCH('без учета бимомента,один тяж'!$J130,'Геом. характеристики швеллера'!$A$6:$A$41,0))))/10-INDEX('Геом. характеристики швеллера'!$I$6:$I$41,MATCH('без учета бимомента,один тяж'!$J130,'Геом. характеристики швеллера'!$A$6:$A$41,0))</f>
        <v>49.6273991057706</v>
      </c>
      <c r="Q130" s="50">
        <f>(8*$E$17*$E$19/($E$12^2))/(COS(Q$110*PI()/180)/(INDEX('Геом. характеристики швеллера'!$K$6:$K$41,MATCH('без учета бимомента,один тяж'!$J130,'Геом. характеристики швеллера'!$A$6:$A$41,0)))+SIN(Q$110*PI()/180)/(4*INDEX('Геом. характеристики швеллера'!$O$6:$O$41,MATCH('без учета бимомента,один тяж'!$J130,'Геом. характеристики швеллера'!$A$6:$A$41,0))))/10-INDEX('Геом. характеристики швеллера'!$I$6:$I$41,MATCH('без учета бимомента,один тяж'!$J130,'Геом. характеристики швеллера'!$A$6:$A$41,0))</f>
        <v>48.323071116626046</v>
      </c>
      <c r="R130" s="11"/>
      <c r="S130" s="11"/>
    </row>
    <row r="131" spans="1:19" x14ac:dyDescent="0.25">
      <c r="C131" s="79" t="s">
        <v>276</v>
      </c>
      <c r="D131" s="2">
        <f>C88/(B133*E24/100)</f>
        <v>61.668007681258857</v>
      </c>
      <c r="E131" s="2" t="s">
        <v>277</v>
      </c>
      <c r="I131" s="11"/>
      <c r="J131" s="40" t="s">
        <v>195</v>
      </c>
      <c r="K131" s="50">
        <f>(8*$E$17*$E$19/($E$12^2))/(COS(K$110*PI()/180)/(INDEX('Геом. характеристики швеллера'!$K$6:$K$41,MATCH('без учета бимомента,один тяж'!$J131,'Геом. характеристики швеллера'!$A$6:$A$41,0)))+SIN(K$110*PI()/180)/(4*INDEX('Геом. характеристики швеллера'!$O$6:$O$41,MATCH('без учета бимомента,один тяж'!$J131,'Геом. характеристики швеллера'!$A$6:$A$41,0))))/10-INDEX('Геом. характеристики швеллера'!$I$6:$I$41,MATCH('без учета бимомента,один тяж'!$J131,'Геом. характеристики швеллера'!$A$6:$A$41,0))</f>
        <v>100.95</v>
      </c>
      <c r="L131" s="50">
        <f>(8*$E$17*$E$19/($E$12^2))/(COS(L$110*PI()/180)/(INDEX('Геом. характеристики швеллера'!$K$6:$K$41,MATCH('без учета бимомента,один тяж'!$J131,'Геом. характеристики швеллера'!$A$6:$A$41,0)))+SIN(L$110*PI()/180)/(4*INDEX('Геом. характеристики швеллера'!$O$6:$O$41,MATCH('без учета бимомента,один тяж'!$J131,'Геом. характеристики швеллера'!$A$6:$A$41,0))))/10-INDEX('Геом. характеристики швеллера'!$I$6:$I$41,MATCH('без учета бимомента,один тяж'!$J131,'Геом. характеристики швеллера'!$A$6:$A$41,0))</f>
        <v>87.33028343827101</v>
      </c>
      <c r="M131" s="50">
        <f>(8*$E$17*$E$19/($E$12^2))/(COS(M$110*PI()/180)/(INDEX('Геом. характеристики швеллера'!$K$6:$K$41,MATCH('без учета бимомента,один тяж'!$J131,'Геом. характеристики швеллера'!$A$6:$A$41,0)))+SIN(M$110*PI()/180)/(4*INDEX('Геом. характеристики швеллера'!$O$6:$O$41,MATCH('без учета бимомента,один тяж'!$J131,'Геом. характеристики швеллера'!$A$6:$A$41,0))))/10-INDEX('Геом. характеристики швеллера'!$I$6:$I$41,MATCH('без учета бимомента,один тяж'!$J131,'Геом. характеристики швеллера'!$A$6:$A$41,0))</f>
        <v>77.331280361854766</v>
      </c>
      <c r="N131" s="50">
        <f>(8*$E$17*$E$19/($E$12^2))/(COS(N$110*PI()/180)/(INDEX('Геом. характеристики швеллера'!$K$6:$K$41,MATCH('без учета бимомента,один тяж'!$J131,'Геом. характеристики швеллера'!$A$6:$A$41,0)))+SIN(N$110*PI()/180)/(4*INDEX('Геом. характеристики швеллера'!$O$6:$O$41,MATCH('без учета бимомента,один тяж'!$J131,'Геом. характеристики швеллера'!$A$6:$A$41,0))))/10-INDEX('Геом. характеристики швеллера'!$I$6:$I$41,MATCH('без учета бимомента,один тяж'!$J131,'Геом. характеристики швеллера'!$A$6:$A$41,0))</f>
        <v>69.776670568760139</v>
      </c>
      <c r="O131" s="50">
        <f>(8*$E$17*$E$19/($E$12^2))/(COS(O$110*PI()/180)/(INDEX('Геом. характеристики швеллера'!$K$6:$K$41,MATCH('без учета бимомента,один тяж'!$J131,'Геом. характеристики швеллера'!$A$6:$A$41,0)))+SIN(O$110*PI()/180)/(4*INDEX('Геом. характеристики швеллера'!$O$6:$O$41,MATCH('без учета бимомента,один тяж'!$J131,'Геом. характеристики швеллера'!$A$6:$A$41,0))))/10-INDEX('Геом. характеристики швеллера'!$I$6:$I$41,MATCH('без учета бимомента,один тяж'!$J131,'Геом. характеристики швеллера'!$A$6:$A$41,0))</f>
        <v>63.959642446865345</v>
      </c>
      <c r="P131" s="50">
        <f>(8*$E$17*$E$19/($E$12^2))/(COS(P$110*PI()/180)/(INDEX('Геом. характеристики швеллера'!$K$6:$K$41,MATCH('без учета бимомента,один тяж'!$J131,'Геом. характеристики швеллера'!$A$6:$A$41,0)))+SIN(P$110*PI()/180)/(4*INDEX('Геом. характеристики швеллера'!$O$6:$O$41,MATCH('без учета бимомента,один тяж'!$J131,'Геом. характеристики швеллера'!$A$6:$A$41,0))))/10-INDEX('Геом. характеристики швеллера'!$I$6:$I$41,MATCH('без учета бимомента,один тяж'!$J131,'Геом. характеристики швеллера'!$A$6:$A$41,0))</f>
        <v>59.431852307370136</v>
      </c>
      <c r="Q131" s="50">
        <f>(8*$E$17*$E$19/($E$12^2))/(COS(Q$110*PI()/180)/(INDEX('Геом. характеристики швеллера'!$K$6:$K$41,MATCH('без учета бимомента,один тяж'!$J131,'Геом. характеристики швеллера'!$A$6:$A$41,0)))+SIN(Q$110*PI()/180)/(4*INDEX('Геом. характеристики швеллера'!$O$6:$O$41,MATCH('без учета бимомента,один тяж'!$J131,'Геом. характеристики швеллера'!$A$6:$A$41,0))))/10-INDEX('Геом. характеристики швеллера'!$I$6:$I$41,MATCH('без учета бимомента,один тяж'!$J131,'Геом. характеристики швеллера'!$A$6:$A$41,0))</f>
        <v>55.897213396022018</v>
      </c>
      <c r="R131" s="11"/>
      <c r="S131" s="11"/>
    </row>
    <row r="132" spans="1:19" x14ac:dyDescent="0.25">
      <c r="I132" s="11"/>
      <c r="J132" s="40" t="s">
        <v>196</v>
      </c>
      <c r="K132" s="50">
        <f>(8*$E$17*$E$19/($E$12^2))/(COS(K$110*PI()/180)/(INDEX('Геом. характеристики швеллера'!$K$6:$K$41,MATCH('без учета бимомента,один тяж'!$J132,'Геом. характеристики швеллера'!$A$6:$A$41,0)))+SIN(K$110*PI()/180)/(4*INDEX('Геом. характеристики швеллера'!$O$6:$O$41,MATCH('без учета бимомента,один тяж'!$J132,'Геом. характеристики швеллера'!$A$6:$A$41,0))))/10-INDEX('Геом. характеристики швеллера'!$I$6:$I$41,MATCH('без учета бимомента,один тяж'!$J132,'Геом. характеристики швеллера'!$A$6:$A$41,0))</f>
        <v>158.92999999999998</v>
      </c>
      <c r="L132" s="50">
        <f>(8*$E$17*$E$19/($E$12^2))/(COS(L$110*PI()/180)/(INDEX('Геом. характеристики швеллера'!$K$6:$K$41,MATCH('без учета бимомента,один тяж'!$J132,'Геом. характеристики швеллера'!$A$6:$A$41,0)))+SIN(L$110*PI()/180)/(4*INDEX('Геом. характеристики швеллера'!$O$6:$O$41,MATCH('без учета бимомента,один тяж'!$J132,'Геом. характеристики швеллера'!$A$6:$A$41,0))))/10-INDEX('Геом. характеристики швеллера'!$I$6:$I$41,MATCH('без учета бимомента,один тяж'!$J132,'Геом. характеристики швеллера'!$A$6:$A$41,0))</f>
        <v>143.78758066919175</v>
      </c>
      <c r="M132" s="50">
        <f>(8*$E$17*$E$19/($E$12^2))/(COS(M$110*PI()/180)/(INDEX('Геом. характеристики швеллера'!$K$6:$K$41,MATCH('без учета бимомента,один тяж'!$J132,'Геом. характеристики швеллера'!$A$6:$A$41,0)))+SIN(M$110*PI()/180)/(4*INDEX('Геом. характеристики швеллера'!$O$6:$O$41,MATCH('без учета бимомента,один тяж'!$J132,'Геом. характеристики швеллера'!$A$6:$A$41,0))))/10-INDEX('Геом. характеристики швеллера'!$I$6:$I$41,MATCH('без учета бимомента,один тяж'!$J132,'Геом. характеристики швеллера'!$A$6:$A$41,0))</f>
        <v>132.13796407218959</v>
      </c>
      <c r="N132" s="50">
        <f>(8*$E$17*$E$19/($E$12^2))/(COS(N$110*PI()/180)/(INDEX('Геом. характеристики швеллера'!$K$6:$K$41,MATCH('без учета бимомента,один тяж'!$J132,'Геом. характеристики швеллера'!$A$6:$A$41,0)))+SIN(N$110*PI()/180)/(4*INDEX('Геом. характеристики швеллера'!$O$6:$O$41,MATCH('без учета бимомента,один тяж'!$J132,'Геом. характеристики швеллера'!$A$6:$A$41,0))))/10-INDEX('Геом. характеристики швеллера'!$I$6:$I$41,MATCH('без учета бимомента,один тяж'!$J132,'Геом. характеристики швеллера'!$A$6:$A$41,0))</f>
        <v>123.0739914966129</v>
      </c>
      <c r="O132" s="50">
        <f>(8*$E$17*$E$19/($E$12^2))/(COS(O$110*PI()/180)/(INDEX('Геом. характеристики швеллера'!$K$6:$K$41,MATCH('без учета бимомента,один тяж'!$J132,'Геом. характеристики швеллера'!$A$6:$A$41,0)))+SIN(O$110*PI()/180)/(4*INDEX('Геом. характеристики швеллера'!$O$6:$O$41,MATCH('без учета бимомента,один тяж'!$J132,'Геом. характеристики швеллера'!$A$6:$A$41,0))))/10-INDEX('Геом. характеристики швеллера'!$I$6:$I$41,MATCH('без учета бимомента,один тяж'!$J132,'Геом. характеристики швеллера'!$A$6:$A$41,0))</f>
        <v>115.99776127911387</v>
      </c>
      <c r="P132" s="50">
        <f>(8*$E$17*$E$19/($E$12^2))/(COS(P$110*PI()/180)/(INDEX('Геом. характеристики швеллера'!$K$6:$K$41,MATCH('без учета бимомента,один тяж'!$J132,'Геом. характеристики швеллера'!$A$6:$A$41,0)))+SIN(P$110*PI()/180)/(4*INDEX('Геом. характеристики швеллера'!$O$6:$O$41,MATCH('без учета бимомента,один тяж'!$J132,'Геом. характеристики швеллера'!$A$6:$A$41,0))))/10-INDEX('Геом. характеристики швеллера'!$I$6:$I$41,MATCH('без учета бимомента,один тяж'!$J132,'Геом. характеристики швеллера'!$A$6:$A$41,0))</f>
        <v>110.50350067201956</v>
      </c>
      <c r="Q132" s="50">
        <f>(8*$E$17*$E$19/($E$12^2))/(COS(Q$110*PI()/180)/(INDEX('Геом. характеристики швеллера'!$K$6:$K$41,MATCH('без учета бимомента,один тяж'!$J132,'Геом. характеристики швеллера'!$A$6:$A$41,0)))+SIN(Q$110*PI()/180)/(4*INDEX('Геом. характеристики швеллера'!$O$6:$O$41,MATCH('без учета бимомента,один тяж'!$J132,'Геом. характеристики швеллера'!$A$6:$A$41,0))))/10-INDEX('Геом. характеристики швеллера'!$I$6:$I$41,MATCH('без учета бимомента,один тяж'!$J132,'Геом. характеристики швеллера'!$A$6:$A$41,0))</f>
        <v>106.31089154485728</v>
      </c>
      <c r="R132" s="11"/>
      <c r="S132" s="11"/>
    </row>
    <row r="133" spans="1:19" ht="18.75" x14ac:dyDescent="0.35">
      <c r="A133" s="2" t="s">
        <v>278</v>
      </c>
      <c r="B133" s="81">
        <v>5</v>
      </c>
      <c r="C133" s="2" t="s">
        <v>252</v>
      </c>
      <c r="D133" s="2" t="s">
        <v>279</v>
      </c>
      <c r="J133" s="40" t="s">
        <v>197</v>
      </c>
      <c r="K133" s="50">
        <f>(8*$E$17*$E$19/($E$12^2))/(COS(K$110*PI()/180)/(INDEX('Геом. характеристики швеллера'!$K$6:$K$41,MATCH('без учета бимомента,один тяж'!$J133,'Геом. характеристики швеллера'!$A$6:$A$41,0)))+SIN(K$110*PI()/180)/(4*INDEX('Геом. характеристики швеллера'!$O$6:$O$41,MATCH('без учета бимомента,один тяж'!$J133,'Геом. характеристики швеллера'!$A$6:$A$41,0))))/10-INDEX('Геом. характеристики швеллера'!$I$6:$I$41,MATCH('без учета бимомента,один тяж'!$J133,'Геом. характеристики швеллера'!$A$6:$A$41,0))</f>
        <v>233.44</v>
      </c>
      <c r="L133" s="50">
        <f>(8*$E$17*$E$19/($E$12^2))/(COS(L$110*PI()/180)/(INDEX('Геом. характеристики швеллера'!$K$6:$K$41,MATCH('без учета бимомента,один тяж'!$J133,'Геом. характеристики швеллера'!$A$6:$A$41,0)))+SIN(L$110*PI()/180)/(4*INDEX('Геом. характеристики швеллера'!$O$6:$O$41,MATCH('без учета бимомента,один тяж'!$J133,'Геом. характеристики швеллера'!$A$6:$A$41,0))))/10-INDEX('Геом. характеристики швеллера'!$I$6:$I$41,MATCH('без учета бимомента,один тяж'!$J133,'Геом. характеристики швеллера'!$A$6:$A$41,0))</f>
        <v>209.5367677845606</v>
      </c>
      <c r="M133" s="50">
        <f>(8*$E$17*$E$19/($E$12^2))/(COS(M$110*PI()/180)/(INDEX('Геом. характеристики швеллера'!$K$6:$K$41,MATCH('без учета бимомента,один тяж'!$J133,'Геом. характеристики швеллера'!$A$6:$A$41,0)))+SIN(M$110*PI()/180)/(4*INDEX('Геом. характеристики швеллера'!$O$6:$O$41,MATCH('без учета бимомента,один тяж'!$J133,'Геом. характеристики швеллера'!$A$6:$A$41,0))))/10-INDEX('Геом. характеристики швеллера'!$I$6:$I$41,MATCH('без учета бимомента,один тяж'!$J133,'Геом. характеристики швеллера'!$A$6:$A$41,0))</f>
        <v>191.29954963666458</v>
      </c>
      <c r="N133" s="50">
        <f>(8*$E$17*$E$19/($E$12^2))/(COS(N$110*PI()/180)/(INDEX('Геом. характеристики швеллера'!$K$6:$K$41,MATCH('без учета бимомента,один тяж'!$J133,'Геом. характеристики швеллера'!$A$6:$A$41,0)))+SIN(N$110*PI()/180)/(4*INDEX('Геом. характеристики швеллера'!$O$6:$O$41,MATCH('без учета бимомента,один тяж'!$J133,'Геом. характеристики швеллера'!$A$6:$A$41,0))))/10-INDEX('Геом. характеристики швеллера'!$I$6:$I$41,MATCH('без учета бимомента,один тяж'!$J133,'Геом. характеристики швеллера'!$A$6:$A$41,0))</f>
        <v>177.17345376021876</v>
      </c>
      <c r="O133" s="50">
        <f>(8*$E$17*$E$19/($E$12^2))/(COS(O$110*PI()/180)/(INDEX('Геом. характеристики швеллера'!$K$6:$K$41,MATCH('без учета бимомента,один тяж'!$J133,'Геом. характеристики швеллера'!$A$6:$A$41,0)))+SIN(O$110*PI()/180)/(4*INDEX('Геом. характеристики швеллера'!$O$6:$O$41,MATCH('без учета бимомента,один тяж'!$J133,'Геом. характеристики швеллера'!$A$6:$A$41,0))))/10-INDEX('Геом. характеристики швеллера'!$I$6:$I$41,MATCH('без учета бимомента,один тяж'!$J133,'Геом. характеристики швеллера'!$A$6:$A$41,0))</f>
        <v>166.15222807775007</v>
      </c>
      <c r="P133" s="50">
        <f>(8*$E$17*$E$19/($E$12^2))/(COS(P$110*PI()/180)/(INDEX('Геом. характеристики швеллера'!$K$6:$K$41,MATCH('без учета бимомента,один тяж'!$J133,'Геом. характеристики швеллера'!$A$6:$A$41,0)))+SIN(P$110*PI()/180)/(4*INDEX('Геом. характеристики швеллера'!$O$6:$O$41,MATCH('без учета бимомента,один тяж'!$J133,'Геом. характеристики швеллера'!$A$6:$A$41,0))))/10-INDEX('Геом. характеристики швеллера'!$I$6:$I$41,MATCH('без учета бимомента,один тяж'!$J133,'Геом. характеристики швеллера'!$A$6:$A$41,0))</f>
        <v>157.56162129130249</v>
      </c>
      <c r="Q133" s="50">
        <f>(8*$E$17*$E$19/($E$12^2))/(COS(Q$110*PI()/180)/(INDEX('Геом. характеристики швеллера'!$K$6:$K$41,MATCH('без учета бимомента,один тяж'!$J133,'Геом. характеристики швеллера'!$A$6:$A$41,0)))+SIN(Q$110*PI()/180)/(4*INDEX('Геом. характеристики швеллера'!$O$6:$O$41,MATCH('без учета бимомента,один тяж'!$J133,'Геом. характеристики швеллера'!$A$6:$A$41,0))))/10-INDEX('Геом. характеристики швеллера'!$I$6:$I$41,MATCH('без учета бимомента,один тяж'!$J133,'Геом. характеристики швеллера'!$A$6:$A$41,0))</f>
        <v>150.93913525077625</v>
      </c>
    </row>
    <row r="134" spans="1:19" x14ac:dyDescent="0.25">
      <c r="J134" s="40" t="s">
        <v>200</v>
      </c>
      <c r="K134" s="50">
        <f>(8*$E$17*$E$19/($E$12^2))/(COS(K$110*PI()/180)/(INDEX('Геом. характеристики швеллера'!$K$6:$K$41,MATCH('без учета бимомента,один тяж'!$J134,'Геом. характеристики швеллера'!$A$6:$A$41,0)))+SIN(K$110*PI()/180)/(4*INDEX('Геом. характеристики швеллера'!$O$6:$O$41,MATCH('без учета бимомента,один тяж'!$J134,'Геом. характеристики швеллера'!$A$6:$A$41,0))))/10-INDEX('Геом. характеристики швеллера'!$I$6:$I$41,MATCH('без учета бимомента,один тяж'!$J134,'Геом. характеристики швеллера'!$A$6:$A$41,0))</f>
        <v>325.62</v>
      </c>
      <c r="L134" s="50">
        <f>(8*$E$17*$E$19/($E$12^2))/(COS(L$110*PI()/180)/(INDEX('Геом. характеристики швеллера'!$K$6:$K$41,MATCH('без учета бимомента,один тяж'!$J134,'Геом. характеристики швеллера'!$A$6:$A$41,0)))+SIN(L$110*PI()/180)/(4*INDEX('Геом. характеристики швеллера'!$O$6:$O$41,MATCH('без учета бимомента,один тяж'!$J134,'Геом. характеристики швеллера'!$A$6:$A$41,0))))/10-INDEX('Геом. характеристики швеллера'!$I$6:$I$41,MATCH('без учета бимомента,один тяж'!$J134,'Геом. характеристики швеллера'!$A$6:$A$41,0))</f>
        <v>290.73876568335982</v>
      </c>
      <c r="M134" s="50">
        <f>(8*$E$17*$E$19/($E$12^2))/(COS(M$110*PI()/180)/(INDEX('Геом. характеристики швеллера'!$K$6:$K$41,MATCH('без учета бимомента,один тяж'!$J134,'Геом. характеристики швеллера'!$A$6:$A$41,0)))+SIN(M$110*PI()/180)/(4*INDEX('Геом. характеристики швеллера'!$O$6:$O$41,MATCH('без учета бимомента,один тяж'!$J134,'Геом. характеристики швеллера'!$A$6:$A$41,0))))/10-INDEX('Геом. характеристики швеллера'!$I$6:$I$41,MATCH('без учета бимомента,один тяж'!$J134,'Геом. характеристики швеллера'!$A$6:$A$41,0))</f>
        <v>264.29295388211131</v>
      </c>
      <c r="N134" s="50">
        <f>(8*$E$17*$E$19/($E$12^2))/(COS(N$110*PI()/180)/(INDEX('Геом. характеристики швеллера'!$K$6:$K$41,MATCH('без учета бимомента,один тяж'!$J134,'Геом. характеристики швеллера'!$A$6:$A$41,0)))+SIN(N$110*PI()/180)/(4*INDEX('Геом. характеристики швеллера'!$O$6:$O$41,MATCH('без учета бимомента,один тяж'!$J134,'Геом. характеристики швеллера'!$A$6:$A$41,0))))/10-INDEX('Геом. характеристики швеллера'!$I$6:$I$41,MATCH('без учета бимомента,один тяж'!$J134,'Геом. характеристики швеллера'!$A$6:$A$41,0))</f>
        <v>243.88567965949545</v>
      </c>
      <c r="O134" s="50">
        <f>(8*$E$17*$E$19/($E$12^2))/(COS(O$110*PI()/180)/(INDEX('Геом. характеристики швеллера'!$K$6:$K$41,MATCH('без учета бимомента,один тяж'!$J134,'Геом. характеристики швеллера'!$A$6:$A$41,0)))+SIN(O$110*PI()/180)/(4*INDEX('Геом. характеристики швеллера'!$O$6:$O$41,MATCH('без учета бимомента,один тяж'!$J134,'Геом. характеристики швеллера'!$A$6:$A$41,0))))/10-INDEX('Геом. характеристики швеллера'!$I$6:$I$41,MATCH('без учета бимомента,один тяж'!$J134,'Геом. характеристики швеллера'!$A$6:$A$41,0))</f>
        <v>227.98589339912104</v>
      </c>
      <c r="P134" s="50">
        <f>(8*$E$17*$E$19/($E$12^2))/(COS(P$110*PI()/180)/(INDEX('Геом. характеристики швеллера'!$K$6:$K$41,MATCH('без учета бимомента,один тяж'!$J134,'Геом. характеристики швеллера'!$A$6:$A$41,0)))+SIN(P$110*PI()/180)/(4*INDEX('Геом. характеристики швеллера'!$O$6:$O$41,MATCH('без учета бимомента,один тяж'!$J134,'Геом. характеристики швеллера'!$A$6:$A$41,0))))/10-INDEX('Геом. характеристики швеллера'!$I$6:$I$41,MATCH('без учета бимомента,один тяж'!$J134,'Геом. характеристики швеллера'!$A$6:$A$41,0))</f>
        <v>215.57730835349997</v>
      </c>
      <c r="Q134" s="50">
        <f>(8*$E$17*$E$19/($E$12^2))/(COS(Q$110*PI()/180)/(INDEX('Геом. характеристики швеллера'!$K$6:$K$41,MATCH('без учета бимомента,один тяж'!$J134,'Геом. характеристики швеллера'!$A$6:$A$41,0)))+SIN(Q$110*PI()/180)/(4*INDEX('Геом. характеристики швеллера'!$O$6:$O$41,MATCH('без учета бимомента,один тяж'!$J134,'Геом. характеристики швеллера'!$A$6:$A$41,0))))/10-INDEX('Геом. характеристики швеллера'!$I$6:$I$41,MATCH('без учета бимомента,один тяж'!$J134,'Геом. характеристики швеллера'!$A$6:$A$41,0))</f>
        <v>205.96694533167741</v>
      </c>
    </row>
    <row r="135" spans="1:19" x14ac:dyDescent="0.25">
      <c r="C135" s="2">
        <f>D131/(E18*E19)</f>
        <v>0.49224144062307523</v>
      </c>
      <c r="E135" s="115" t="str">
        <f>IF(C135&lt;1,"Условия прочности обеспечены","Условия прочности не обеспечены")</f>
        <v>Условия прочности обеспечены</v>
      </c>
      <c r="F135" s="115"/>
      <c r="G135" s="115"/>
      <c r="J135" s="40" t="s">
        <v>202</v>
      </c>
      <c r="K135" s="50">
        <f>(8*$E$17*$E$19/($E$12^2))/(COS(K$110*PI()/180)/(INDEX('Геом. характеристики швеллера'!$K$6:$K$41,MATCH('без учета бимомента,один тяж'!$J135,'Геом. характеристики швеллера'!$A$6:$A$41,0)))+SIN(K$110*PI()/180)/(4*INDEX('Геом. характеристики швеллера'!$O$6:$O$41,MATCH('без учета бимомента,один тяж'!$J135,'Геом. характеристики швеллера'!$A$6:$A$41,0))))/10-INDEX('Геом. характеристики швеллера'!$I$6:$I$41,MATCH('без учета бимомента,один тяж'!$J135,'Геом. характеристики швеллера'!$A$6:$A$41,0))</f>
        <v>436.03999999999996</v>
      </c>
      <c r="L135" s="50">
        <f>(8*$E$17*$E$19/($E$12^2))/(COS(L$110*PI()/180)/(INDEX('Геом. характеристики швеллера'!$K$6:$K$41,MATCH('без учета бимомента,один тяж'!$J135,'Геом. характеристики швеллера'!$A$6:$A$41,0)))+SIN(L$110*PI()/180)/(4*INDEX('Геом. характеристики швеллера'!$O$6:$O$41,MATCH('без учета бимомента,один тяж'!$J135,'Геом. характеристики швеллера'!$A$6:$A$41,0))))/10-INDEX('Геом. характеристики швеллера'!$I$6:$I$41,MATCH('без учета бимомента,один тяж'!$J135,'Геом. характеристики швеллера'!$A$6:$A$41,0))</f>
        <v>387.50704743443896</v>
      </c>
      <c r="M135" s="50">
        <f>(8*$E$17*$E$19/($E$12^2))/(COS(M$110*PI()/180)/(INDEX('Геом. характеристики швеллера'!$K$6:$K$41,MATCH('без учета бимомента,один тяж'!$J135,'Геом. характеристики швеллера'!$A$6:$A$41,0)))+SIN(M$110*PI()/180)/(4*INDEX('Геом. характеристики швеллера'!$O$6:$O$41,MATCH('без учета бимомента,один тяж'!$J135,'Геом. характеристики швеллера'!$A$6:$A$41,0))))/10-INDEX('Геом. характеристики швеллера'!$I$6:$I$41,MATCH('без учета бимомента,один тяж'!$J135,'Геом. характеристики швеллера'!$A$6:$A$41,0))</f>
        <v>350.92751020706868</v>
      </c>
      <c r="N135" s="50">
        <f>(8*$E$17*$E$19/($E$12^2))/(COS(N$110*PI()/180)/(INDEX('Геом. характеристики швеллера'!$K$6:$K$41,MATCH('без учета бимомента,один тяж'!$J135,'Геом. характеристики швеллера'!$A$6:$A$41,0)))+SIN(N$110*PI()/180)/(4*INDEX('Геом. характеристики швеллера'!$O$6:$O$41,MATCH('без учета бимомента,один тяж'!$J135,'Геом. характеристики швеллера'!$A$6:$A$41,0))))/10-INDEX('Геом. характеристики швеллера'!$I$6:$I$41,MATCH('без учета бимомента,один тяж'!$J135,'Геом. характеристики швеллера'!$A$6:$A$41,0))</f>
        <v>322.8046012884883</v>
      </c>
      <c r="O135" s="50">
        <f>(8*$E$17*$E$19/($E$12^2))/(COS(O$110*PI()/180)/(INDEX('Геом. характеристики швеллера'!$K$6:$K$41,MATCH('без учета бимомента,один тяж'!$J135,'Геом. характеристики швеллера'!$A$6:$A$41,0)))+SIN(O$110*PI()/180)/(4*INDEX('Геом. характеристики швеллера'!$O$6:$O$41,MATCH('без учета бимомента,один тяж'!$J135,'Геом. характеристики швеллера'!$A$6:$A$41,0))))/10-INDEX('Геом. характеристики швеллера'!$I$6:$I$41,MATCH('без учета бимомента,один тяж'!$J135,'Геом. характеристики швеллера'!$A$6:$A$41,0))</f>
        <v>300.93087721155791</v>
      </c>
      <c r="P135" s="50">
        <f>(8*$E$17*$E$19/($E$12^2))/(COS(P$110*PI()/180)/(INDEX('Геом. характеристики швеллера'!$K$6:$K$41,MATCH('без учета бимомента,один тяж'!$J135,'Геом. характеристики швеллера'!$A$6:$A$41,0)))+SIN(P$110*PI()/180)/(4*INDEX('Геом. характеристики швеллера'!$O$6:$O$41,MATCH('без учета бимомента,один тяж'!$J135,'Геом. характеристики швеллера'!$A$6:$A$41,0))))/10-INDEX('Геом. характеристики швеллера'!$I$6:$I$41,MATCH('без учета бимомента,один тяж'!$J135,'Геом. характеристики швеллера'!$A$6:$A$41,0))</f>
        <v>283.8536819485858</v>
      </c>
      <c r="Q135" s="50">
        <f>(8*$E$17*$E$19/($E$12^2))/(COS(Q$110*PI()/180)/(INDEX('Геом. характеристики швеллера'!$K$6:$K$41,MATCH('без учета бимомента,один тяж'!$J135,'Геом. характеристики швеллера'!$A$6:$A$41,0)))+SIN(Q$110*PI()/180)/(4*INDEX('Геом. характеристики швеллера'!$O$6:$O$41,MATCH('без учета бимомента,один тяж'!$J135,'Геом. характеристики швеллера'!$A$6:$A$41,0))))/10-INDEX('Геом. характеристики швеллера'!$I$6:$I$41,MATCH('без учета бимомента,один тяж'!$J135,'Геом. характеристики швеллера'!$A$6:$A$41,0))</f>
        <v>270.58819129398682</v>
      </c>
    </row>
    <row r="136" spans="1:19" x14ac:dyDescent="0.25">
      <c r="J136" s="40" t="s">
        <v>204</v>
      </c>
      <c r="K136" s="50">
        <f>(8*$E$17*$E$19/($E$12^2))/(COS(K$110*PI()/180)/(INDEX('Геом. характеристики швеллера'!$K$6:$K$41,MATCH('без учета бимомента,один тяж'!$J136,'Геом. характеристики швеллера'!$A$6:$A$41,0)))+SIN(K$110*PI()/180)/(4*INDEX('Геом. характеристики швеллера'!$O$6:$O$41,MATCH('без учета бимомента,один тяж'!$J136,'Геом. характеристики швеллера'!$A$6:$A$41,0))))/10-INDEX('Геом. характеристики швеллера'!$I$6:$I$41,MATCH('без учета бимомента,один тяж'!$J136,'Геом. характеристики швеллера'!$A$6:$A$41,0))</f>
        <v>479.09999999999997</v>
      </c>
      <c r="L136" s="50">
        <f>(8*$E$17*$E$19/($E$12^2))/(COS(L$110*PI()/180)/(INDEX('Геом. характеристики швеллера'!$K$6:$K$41,MATCH('без учета бимомента,один тяж'!$J136,'Геом. характеристики швеллера'!$A$6:$A$41,0)))+SIN(L$110*PI()/180)/(4*INDEX('Геом. характеристики швеллера'!$O$6:$O$41,MATCH('без учета бимомента,один тяж'!$J136,'Геом. характеристики швеллера'!$A$6:$A$41,0))))/10-INDEX('Геом. характеристики швеллера'!$I$6:$I$41,MATCH('без учета бимомента,один тяж'!$J136,'Геом. характеристики швеллера'!$A$6:$A$41,0))</f>
        <v>429.82558643392332</v>
      </c>
      <c r="M136" s="50">
        <f>(8*$E$17*$E$19/($E$12^2))/(COS(M$110*PI()/180)/(INDEX('Геом. характеристики швеллера'!$K$6:$K$41,MATCH('без учета бимомента,один тяж'!$J136,'Геом. характеристики швеллера'!$A$6:$A$41,0)))+SIN(M$110*PI()/180)/(4*INDEX('Геом. характеристики швеллера'!$O$6:$O$41,MATCH('без учета бимомента,один тяж'!$J136,'Геом. характеристики швеллера'!$A$6:$A$41,0))))/10-INDEX('Геом. характеристики швеллера'!$I$6:$I$41,MATCH('без учета бимомента,один тяж'!$J136,'Геом. характеристики швеллера'!$A$6:$A$41,0))</f>
        <v>392.30383092501421</v>
      </c>
      <c r="N136" s="50">
        <f>(8*$E$17*$E$19/($E$12^2))/(COS(N$110*PI()/180)/(INDEX('Геом. характеристики швеллера'!$K$6:$K$41,MATCH('без учета бимомента,один тяж'!$J136,'Геом. характеристики швеллера'!$A$6:$A$41,0)))+SIN(N$110*PI()/180)/(4*INDEX('Геом. характеристики швеллера'!$O$6:$O$41,MATCH('без учета бимомента,один тяж'!$J136,'Геом. характеристики швеллера'!$A$6:$A$41,0))))/10-INDEX('Геом. характеристики швеллера'!$I$6:$I$41,MATCH('без учета бимомента,один тяж'!$J136,'Геом. характеристики швеллера'!$A$6:$A$41,0))</f>
        <v>363.27325911930308</v>
      </c>
      <c r="O136" s="50">
        <f>(8*$E$17*$E$19/($E$12^2))/(COS(O$110*PI()/180)/(INDEX('Геом. характеристики швеллера'!$K$6:$K$41,MATCH('без учета бимомента,один тяж'!$J136,'Геом. характеристики швеллера'!$A$6:$A$41,0)))+SIN(O$110*PI()/180)/(4*INDEX('Геом. характеристики швеллера'!$O$6:$O$41,MATCH('без учета бимомента,один тяж'!$J136,'Геом. характеристики швеллера'!$A$6:$A$41,0))))/10-INDEX('Геом. характеристики швеллера'!$I$6:$I$41,MATCH('без учета бимомента,один тяж'!$J136,'Геом. характеристики швеллера'!$A$6:$A$41,0))</f>
        <v>340.63175812423691</v>
      </c>
      <c r="P136" s="50">
        <f>(8*$E$17*$E$19/($E$12^2))/(COS(P$110*PI()/180)/(INDEX('Геом. характеристики швеллера'!$K$6:$K$41,MATCH('без учета бимомента,один тяж'!$J136,'Геом. характеристики швеллера'!$A$6:$A$41,0)))+SIN(P$110*PI()/180)/(4*INDEX('Геом. характеристики швеллера'!$O$6:$O$41,MATCH('без учета бимомента,один тяж'!$J136,'Геом. характеристики швеллера'!$A$6:$A$41,0))))/10-INDEX('Геом. характеристики швеллера'!$I$6:$I$41,MATCH('без учета бимомента,один тяж'!$J136,'Геом. характеристики швеллера'!$A$6:$A$41,0))</f>
        <v>322.97487666158855</v>
      </c>
      <c r="Q136" s="50">
        <f>(8*$E$17*$E$19/($E$12^2))/(COS(Q$110*PI()/180)/(INDEX('Геом. характеристики швеллера'!$K$6:$K$41,MATCH('без учета бимомента,один тяж'!$J136,'Геом. характеристики швеллера'!$A$6:$A$41,0)))+SIN(Q$110*PI()/180)/(4*INDEX('Геом. характеристики швеллера'!$O$6:$O$41,MATCH('без учета бимомента,один тяж'!$J136,'Геом. характеристики швеллера'!$A$6:$A$41,0))))/10-INDEX('Геом. характеристики швеллера'!$I$6:$I$41,MATCH('без учета бимомента,один тяж'!$J136,'Геом. характеристики швеллера'!$A$6:$A$41,0))</f>
        <v>309.34096663364204</v>
      </c>
    </row>
    <row r="137" spans="1:19" x14ac:dyDescent="0.25">
      <c r="A137" s="2" t="s">
        <v>280</v>
      </c>
      <c r="J137" s="40" t="s">
        <v>207</v>
      </c>
      <c r="K137" s="50">
        <f>(8*$E$17*$E$19/($E$12^2))/(COS(K$110*PI()/180)/(INDEX('Геом. характеристики швеллера'!$K$6:$K$41,MATCH('без учета бимомента,один тяж'!$J137,'Геом. характеристики швеллера'!$A$6:$A$41,0)))+SIN(K$110*PI()/180)/(4*INDEX('Геом. характеристики швеллера'!$O$6:$O$41,MATCH('без учета бимомента,один тяж'!$J137,'Геом. характеристики швеллера'!$A$6:$A$41,0))))/10-INDEX('Геом. характеристики швеллера'!$I$6:$I$41,MATCH('без учета бимомента,один тяж'!$J137,'Геом. характеристики швеллера'!$A$6:$A$41,0))</f>
        <v>564.5</v>
      </c>
      <c r="L137" s="50">
        <f>(8*$E$17*$E$19/($E$12^2))/(COS(L$110*PI()/180)/(INDEX('Геом. характеристики швеллера'!$K$6:$K$41,MATCH('без учета бимомента,один тяж'!$J137,'Геом. характеристики швеллера'!$A$6:$A$41,0)))+SIN(L$110*PI()/180)/(4*INDEX('Геом. характеристики швеллера'!$O$6:$O$41,MATCH('без учета бимомента,один тяж'!$J137,'Геом. характеристики швеллера'!$A$6:$A$41,0))))/10-INDEX('Геом. характеристики швеллера'!$I$6:$I$41,MATCH('без учета бимомента,один тяж'!$J137,'Геом. характеристики швеллера'!$A$6:$A$41,0))</f>
        <v>500.34404535129494</v>
      </c>
      <c r="M137" s="50">
        <f>(8*$E$17*$E$19/($E$12^2))/(COS(M$110*PI()/180)/(INDEX('Геом. характеристики швеллера'!$K$6:$K$41,MATCH('без учета бимомента,один тяж'!$J137,'Геом. характеристики швеллера'!$A$6:$A$41,0)))+SIN(M$110*PI()/180)/(4*INDEX('Геом. характеристики швеллера'!$O$6:$O$41,MATCH('без учета бимомента,один тяж'!$J137,'Геом. характеристики швеллера'!$A$6:$A$41,0))))/10-INDEX('Геом. характеристики швеллера'!$I$6:$I$41,MATCH('без учета бимомента,один тяж'!$J137,'Геом. характеристики швеллера'!$A$6:$A$41,0))</f>
        <v>452.16234186023502</v>
      </c>
      <c r="N137" s="50">
        <f>(8*$E$17*$E$19/($E$12^2))/(COS(N$110*PI()/180)/(INDEX('Геом. характеристики швеллера'!$K$6:$K$41,MATCH('без учета бимомента,один тяж'!$J137,'Геом. характеристики швеллера'!$A$6:$A$41,0)))+SIN(N$110*PI()/180)/(4*INDEX('Геом. характеристики швеллера'!$O$6:$O$41,MATCH('без учета бимомента,один тяж'!$J137,'Геом. характеристики швеллера'!$A$6:$A$41,0))))/10-INDEX('Геом. характеристики швеллера'!$I$6:$I$41,MATCH('без учета бимомента,один тяж'!$J137,'Геом. характеристики швеллера'!$A$6:$A$41,0))</f>
        <v>415.20466252148964</v>
      </c>
      <c r="O137" s="50">
        <f>(8*$E$17*$E$19/($E$12^2))/(COS(O$110*PI()/180)/(INDEX('Геом. характеристики швеллера'!$K$6:$K$41,MATCH('без учета бимомента,один тяж'!$J137,'Геом. характеристики швеллера'!$A$6:$A$41,0)))+SIN(O$110*PI()/180)/(4*INDEX('Геом. характеристики швеллера'!$O$6:$O$41,MATCH('без учета бимомента,один тяж'!$J137,'Геом. характеристики швеллера'!$A$6:$A$41,0))))/10-INDEX('Геом. характеристики швеллера'!$I$6:$I$41,MATCH('без учета бимомента,один тяж'!$J137,'Геом. характеристики швеллера'!$A$6:$A$41,0))</f>
        <v>386.49321614820582</v>
      </c>
      <c r="P137" s="50">
        <f>(8*$E$17*$E$19/($E$12^2))/(COS(P$110*PI()/180)/(INDEX('Геом. характеристики швеллера'!$K$6:$K$41,MATCH('без учета бимомента,один тяж'!$J137,'Геом. характеристики швеллера'!$A$6:$A$41,0)))+SIN(P$110*PI()/180)/(4*INDEX('Геом. характеристики швеллера'!$O$6:$O$41,MATCH('без учета бимомента,один тяж'!$J137,'Геом. характеристики швеллера'!$A$6:$A$41,0))))/10-INDEX('Геом. характеристики швеллера'!$I$6:$I$41,MATCH('без учета бимомента,один тяж'!$J137,'Геом. характеристики швеллера'!$A$6:$A$41,0))</f>
        <v>364.07851053299652</v>
      </c>
      <c r="Q137" s="50">
        <f>(8*$E$17*$E$19/($E$12^2))/(COS(Q$110*PI()/180)/(INDEX('Геом. характеристики швеллера'!$K$6:$K$41,MATCH('без учета бимомента,один тяж'!$J137,'Геом. характеристики швеллера'!$A$6:$A$41,0)))+SIN(Q$110*PI()/180)/(4*INDEX('Геом. характеристики швеллера'!$O$6:$O$41,MATCH('без учета бимомента,один тяж'!$J137,'Геом. характеристики швеллера'!$A$6:$A$41,0))))/10-INDEX('Геом. характеристики швеллера'!$I$6:$I$41,MATCH('без учета бимомента,один тяж'!$J137,'Геом. характеристики швеллера'!$A$6:$A$41,0))</f>
        <v>346.64358387798717</v>
      </c>
    </row>
    <row r="138" spans="1:19" x14ac:dyDescent="0.25">
      <c r="J138" s="40" t="s">
        <v>209</v>
      </c>
      <c r="K138" s="50">
        <f>(8*$E$17*$E$19/($E$12^2))/(COS(K$110*PI()/180)/(INDEX('Геом. характеристики швеллера'!$K$6:$K$41,MATCH('без учета бимомента,один тяж'!$J138,'Геом. характеристики швеллера'!$A$6:$A$41,0)))+SIN(K$110*PI()/180)/(4*INDEX('Геом. характеристики швеллера'!$O$6:$O$41,MATCH('без учета бимомента,один тяж'!$J138,'Геом. характеристики швеллера'!$A$6:$A$41,0))))/10-INDEX('Геом. характеристики швеллера'!$I$6:$I$41,MATCH('без учета бимомента,один тяж'!$J138,'Геом. характеристики швеллера'!$A$6:$A$41,0))</f>
        <v>621</v>
      </c>
      <c r="L138" s="50">
        <f>(8*$E$17*$E$19/($E$12^2))/(COS(L$110*PI()/180)/(INDEX('Геом. характеристики швеллера'!$K$6:$K$41,MATCH('без учета бимомента,один тяж'!$J138,'Геом. характеристики швеллера'!$A$6:$A$41,0)))+SIN(L$110*PI()/180)/(4*INDEX('Геом. характеристики швеллера'!$O$6:$O$41,MATCH('без учета бимомента,один тяж'!$J138,'Геом. характеристики швеллера'!$A$6:$A$41,0))))/10-INDEX('Геом. характеристики швеллера'!$I$6:$I$41,MATCH('без учета бимомента,один тяж'!$J138,'Геом. характеристики швеллера'!$A$6:$A$41,0))</f>
        <v>554.92455096548235</v>
      </c>
      <c r="M138" s="50">
        <f>(8*$E$17*$E$19/($E$12^2))/(COS(M$110*PI()/180)/(INDEX('Геом. характеристики швеллера'!$K$6:$K$41,MATCH('без учета бимомента,один тяж'!$J138,'Геом. характеристики швеллера'!$A$6:$A$41,0)))+SIN(M$110*PI()/180)/(4*INDEX('Геом. характеристики швеллера'!$O$6:$O$41,MATCH('без учета бимомента,один тяж'!$J138,'Геом. характеристики швеллера'!$A$6:$A$41,0))))/10-INDEX('Геом. характеристики швеллера'!$I$6:$I$41,MATCH('без учета бимомента,один тяж'!$J138,'Геом. характеристики швеллера'!$A$6:$A$41,0))</f>
        <v>504.84585326900662</v>
      </c>
      <c r="N138" s="50">
        <f>(8*$E$17*$E$19/($E$12^2))/(COS(N$110*PI()/180)/(INDEX('Геом. характеристики швеллера'!$K$6:$K$41,MATCH('без учета бимомента,один тяж'!$J138,'Геом. характеристики швеллера'!$A$6:$A$41,0)))+SIN(N$110*PI()/180)/(4*INDEX('Геом. характеристики швеллера'!$O$6:$O$41,MATCH('без учета бимомента,один тяж'!$J138,'Геом. характеристики швеллера'!$A$6:$A$41,0))))/10-INDEX('Геом. характеристики швеллера'!$I$6:$I$41,MATCH('без учета бимомента,один тяж'!$J138,'Геом. характеристики швеллера'!$A$6:$A$41,0))</f>
        <v>466.21026791288006</v>
      </c>
      <c r="O138" s="50">
        <f>(8*$E$17*$E$19/($E$12^2))/(COS(O$110*PI()/180)/(INDEX('Геом. характеристики швеллера'!$K$6:$K$41,MATCH('без учета бимомента,один тяж'!$J138,'Геом. характеристики швеллера'!$A$6:$A$41,0)))+SIN(O$110*PI()/180)/(4*INDEX('Геом. характеристики швеллера'!$O$6:$O$41,MATCH('без учета бимомента,один тяж'!$J138,'Геом. характеристики швеллера'!$A$6:$A$41,0))))/10-INDEX('Геом. характеристики швеллера'!$I$6:$I$41,MATCH('без учета бимомента,один тяж'!$J138,'Геом. характеристики швеллера'!$A$6:$A$41,0))</f>
        <v>436.11114827251345</v>
      </c>
      <c r="P138" s="50">
        <f>(8*$E$17*$E$19/($E$12^2))/(COS(P$110*PI()/180)/(INDEX('Геом. характеристики швеллера'!$K$6:$K$41,MATCH('без учета бимомента,один тяж'!$J138,'Геом. характеристики швеллера'!$A$6:$A$41,0)))+SIN(P$110*PI()/180)/(4*INDEX('Геом. характеристики швеллера'!$O$6:$O$41,MATCH('без учета бимомента,один тяж'!$J138,'Геом. характеристики швеллера'!$A$6:$A$41,0))))/10-INDEX('Геом. характеристики швеллера'!$I$6:$I$41,MATCH('без учета бимомента,один тяж'!$J138,'Геом. характеристики швеллера'!$A$6:$A$41,0))</f>
        <v>412.6201061469751</v>
      </c>
      <c r="Q138" s="50">
        <f>(8*$E$17*$E$19/($E$12^2))/(COS(Q$110*PI()/180)/(INDEX('Геом. характеристики швеллера'!$K$6:$K$41,MATCH('без учета бимомента,один тяж'!$J138,'Геом. характеристики швеллера'!$A$6:$A$41,0)))+SIN(Q$110*PI()/180)/(4*INDEX('Геом. характеристики швеллера'!$O$6:$O$41,MATCH('без учета бимомента,один тяж'!$J138,'Геом. характеристики швеллера'!$A$6:$A$41,0))))/10-INDEX('Геом. характеристики швеллера'!$I$6:$I$41,MATCH('без учета бимомента,один тяж'!$J138,'Геом. характеристики швеллера'!$A$6:$A$41,0))</f>
        <v>394.42266960826703</v>
      </c>
    </row>
    <row r="139" spans="1:19" x14ac:dyDescent="0.25">
      <c r="A139" s="2" t="s">
        <v>282</v>
      </c>
      <c r="J139" s="40" t="s">
        <v>18</v>
      </c>
      <c r="K139" s="50">
        <f>(8*$E$17*$E$19/($E$12^2))/(COS(K$110*PI()/180)/(INDEX('Геом. характеристики швеллера'!$K$6:$K$41,MATCH('без учета бимомента,один тяж'!$J139,'Геом. характеристики швеллера'!$A$6:$A$41,0)))+SIN(K$110*PI()/180)/(4*INDEX('Геом. характеристики швеллера'!$O$6:$O$41,MATCH('без учета бимомента,один тяж'!$J139,'Геом. характеристики швеллера'!$A$6:$A$41,0))))/10-INDEX('Геом. характеристики швеллера'!$I$6:$I$41,MATCH('без учета бимомента,один тяж'!$J139,'Геом. характеристики швеллера'!$A$6:$A$41,0))</f>
        <v>716</v>
      </c>
      <c r="L139" s="50">
        <f>(8*$E$17*$E$19/($E$12^2))/(COS(L$110*PI()/180)/(INDEX('Геом. характеристики швеллера'!$K$6:$K$41,MATCH('без учета бимомента,один тяж'!$J139,'Геом. характеристики швеллера'!$A$6:$A$41,0)))+SIN(L$110*PI()/180)/(4*INDEX('Геом. характеристики швеллера'!$O$6:$O$41,MATCH('без учета бимомента,один тяж'!$J139,'Геом. характеристики швеллера'!$A$6:$A$41,0))))/10-INDEX('Геом. характеристики швеллера'!$I$6:$I$41,MATCH('без учета бимомента,один тяж'!$J139,'Геом. характеристики швеллера'!$A$6:$A$41,0))</f>
        <v>632.38420906560805</v>
      </c>
      <c r="M139" s="50">
        <f>(8*$E$17*$E$19/($E$12^2))/(COS(M$110*PI()/180)/(INDEX('Геом. характеристики швеллера'!$K$6:$K$41,MATCH('без учета бимомента,один тяж'!$J139,'Геом. характеристики швеллера'!$A$6:$A$41,0)))+SIN(M$110*PI()/180)/(4*INDEX('Геом. характеристики швеллера'!$O$6:$O$41,MATCH('без учета бимомента,один тяж'!$J139,'Геом. характеристики швеллера'!$A$6:$A$41,0))))/10-INDEX('Геом. характеристики швеллера'!$I$6:$I$41,MATCH('без учета бимомента,один тяж'!$J139,'Геом. характеристики швеллера'!$A$6:$A$41,0))</f>
        <v>569.88199940160473</v>
      </c>
      <c r="N139" s="50">
        <f>(8*$E$17*$E$19/($E$12^2))/(COS(N$110*PI()/180)/(INDEX('Геом. характеристики швеллера'!$K$6:$K$41,MATCH('без учета бимомента,один тяж'!$J139,'Геом. характеристики швеллера'!$A$6:$A$41,0)))+SIN(N$110*PI()/180)/(4*INDEX('Геом. характеристики швеллера'!$O$6:$O$41,MATCH('без учета бимомента,один тяж'!$J139,'Геом. характеристики швеллера'!$A$6:$A$41,0))))/10-INDEX('Геом. характеристики швеллера'!$I$6:$I$41,MATCH('без учета бимомента,один тяж'!$J139,'Геом. характеристики швеллера'!$A$6:$A$41,0))</f>
        <v>522.08637311374366</v>
      </c>
      <c r="O139" s="50">
        <f>(8*$E$17*$E$19/($E$12^2))/(COS(O$110*PI()/180)/(INDEX('Геом. характеристики швеллера'!$K$6:$K$41,MATCH('без учета бимомента,один тяж'!$J139,'Геом. характеристики швеллера'!$A$6:$A$41,0)))+SIN(O$110*PI()/180)/(4*INDEX('Геом. характеристики швеллера'!$O$6:$O$41,MATCH('без учета бимомента,один тяж'!$J139,'Геом. характеристики швеллера'!$A$6:$A$41,0))))/10-INDEX('Геом. характеристики швеллера'!$I$6:$I$41,MATCH('без учета бимомента,один тяж'!$J139,'Геом. характеристики швеллера'!$A$6:$A$41,0))</f>
        <v>485.01700518704195</v>
      </c>
      <c r="P139" s="50">
        <f>(8*$E$17*$E$19/($E$12^2))/(COS(P$110*PI()/180)/(INDEX('Геом. характеристики швеллера'!$K$6:$K$41,MATCH('без учета бимомента,один тяж'!$J139,'Геом. характеристики швеллера'!$A$6:$A$41,0)))+SIN(P$110*PI()/180)/(4*INDEX('Геом. характеристики швеллера'!$O$6:$O$41,MATCH('без учета бимомента,один тяж'!$J139,'Геом. характеристики швеллера'!$A$6:$A$41,0))))/10-INDEX('Геом. характеристики швеллера'!$I$6:$I$41,MATCH('без учета бимомента,один тяж'!$J139,'Геом. характеристики швеллера'!$A$6:$A$41,0))</f>
        <v>456.08544508427269</v>
      </c>
      <c r="Q139" s="50">
        <f>(8*$E$17*$E$19/($E$12^2))/(COS(Q$110*PI()/180)/(INDEX('Геом. характеристики швеллера'!$K$6:$K$41,MATCH('без учета бимомента,один тяж'!$J139,'Геом. характеристики швеллера'!$A$6:$A$41,0)))+SIN(Q$110*PI()/180)/(4*INDEX('Геом. характеристики швеллера'!$O$6:$O$41,MATCH('без учета бимомента,один тяж'!$J139,'Геом. характеристики швеллера'!$A$6:$A$41,0))))/10-INDEX('Геом. характеристики швеллера'!$I$6:$I$41,MATCH('без учета бимомента,один тяж'!$J139,'Геом. характеристики швеллера'!$A$6:$A$41,0))</f>
        <v>433.55126212958112</v>
      </c>
    </row>
    <row r="140" spans="1:19" x14ac:dyDescent="0.25">
      <c r="J140" s="40" t="s">
        <v>215</v>
      </c>
      <c r="K140" s="50">
        <f>(8*$E$17*$E$19/($E$12^2))/(COS(K$110*PI()/180)/(INDEX('Геом. характеристики швеллера'!$K$6:$K$41,MATCH('без учета бимомента,один тяж'!$J140,'Геом. характеристики швеллера'!$A$6:$A$41,0)))+SIN(K$110*PI()/180)/(4*INDEX('Геом. характеристики швеллера'!$O$6:$O$41,MATCH('без учета бимомента,один тяж'!$J140,'Геом. характеристики швеллера'!$A$6:$A$41,0))))/10-INDEX('Геом. характеристики швеллера'!$I$6:$I$41,MATCH('без учета бимомента,один тяж'!$J140,'Геом. характеристики швеллера'!$A$6:$A$41,0))</f>
        <v>905.4</v>
      </c>
      <c r="L140" s="50">
        <f>(8*$E$17*$E$19/($E$12^2))/(COS(L$110*PI()/180)/(INDEX('Геом. характеристики швеллера'!$K$6:$K$41,MATCH('без учета бимомента,один тяж'!$J140,'Геом. характеристики швеллера'!$A$6:$A$41,0)))+SIN(L$110*PI()/180)/(4*INDEX('Геом. характеристики швеллера'!$O$6:$O$41,MATCH('без учета бимомента,один тяж'!$J140,'Геом. характеристики швеллера'!$A$6:$A$41,0))))/10-INDEX('Геом. характеристики швеллера'!$I$6:$I$41,MATCH('без учета бимомента,один тяж'!$J140,'Геом. характеристики швеллера'!$A$6:$A$41,0))</f>
        <v>797.48417555762273</v>
      </c>
      <c r="M140" s="50">
        <f>(8*$E$17*$E$19/($E$12^2))/(COS(M$110*PI()/180)/(INDEX('Геом. характеристики швеллера'!$K$6:$K$41,MATCH('без учета бимомента,один тяж'!$J140,'Геом. характеристики швеллера'!$A$6:$A$41,0)))+SIN(M$110*PI()/180)/(4*INDEX('Геом. характеристики швеллера'!$O$6:$O$41,MATCH('без учета бимомента,один тяж'!$J140,'Геом. характеристики швеллера'!$A$6:$A$41,0))))/10-INDEX('Геом. характеристики швеллера'!$I$6:$I$41,MATCH('без учета бимомента,один тяж'!$J140,'Геом. характеристики швеллера'!$A$6:$A$41,0))</f>
        <v>717.11866823698188</v>
      </c>
      <c r="N140" s="50">
        <f>(8*$E$17*$E$19/($E$12^2))/(COS(N$110*PI()/180)/(INDEX('Геом. характеристики швеллера'!$K$6:$K$41,MATCH('без учета бимомента,один тяж'!$J140,'Геом. характеристики швеллера'!$A$6:$A$41,0)))+SIN(N$110*PI()/180)/(4*INDEX('Геом. характеристики швеллера'!$O$6:$O$41,MATCH('без учета бимомента,один тяж'!$J140,'Геом. характеристики швеллера'!$A$6:$A$41,0))))/10-INDEX('Геом. характеристики швеллера'!$I$6:$I$41,MATCH('без учета бимомента,один тяж'!$J140,'Геом. характеристики швеллера'!$A$6:$A$41,0))</f>
        <v>655.81442822848237</v>
      </c>
      <c r="O140" s="50">
        <f>(8*$E$17*$E$19/($E$12^2))/(COS(O$110*PI()/180)/(INDEX('Геом. характеристики швеллера'!$K$6:$K$41,MATCH('без учета бимомента,один тяж'!$J140,'Геом. характеристики швеллера'!$A$6:$A$41,0)))+SIN(O$110*PI()/180)/(4*INDEX('Геом. характеристики швеллера'!$O$6:$O$41,MATCH('без учета бимомента,один тяж'!$J140,'Геом. характеристики швеллера'!$A$6:$A$41,0))))/10-INDEX('Геом. характеристики швеллера'!$I$6:$I$41,MATCH('без учета бимомента,один тяж'!$J140,'Геом. характеристики швеллера'!$A$6:$A$41,0))</f>
        <v>608.33481847566804</v>
      </c>
      <c r="P140" s="50">
        <f>(8*$E$17*$E$19/($E$12^2))/(COS(P$110*PI()/180)/(INDEX('Геом. характеристики швеллера'!$K$6:$K$41,MATCH('без учета бимомента,один тяж'!$J140,'Геом. характеристики швеллера'!$A$6:$A$41,0)))+SIN(P$110*PI()/180)/(4*INDEX('Геом. характеристики швеллера'!$O$6:$O$41,MATCH('без учета бимомента,один тяж'!$J140,'Геом. характеристики швеллера'!$A$6:$A$41,0))))/10-INDEX('Геом. характеристики швеллера'!$I$6:$I$41,MATCH('без учета бимомента,один тяж'!$J140,'Геом. характеристики швеллера'!$A$6:$A$41,0))</f>
        <v>571.29227424256192</v>
      </c>
      <c r="Q140" s="50">
        <f>(8*$E$17*$E$19/($E$12^2))/(COS(Q$110*PI()/180)/(INDEX('Геом. характеристики швеллера'!$K$6:$K$41,MATCH('без учета бимомента,один тяж'!$J140,'Геом. характеристики швеллера'!$A$6:$A$41,0)))+SIN(Q$110*PI()/180)/(4*INDEX('Геом. характеристики швеллера'!$O$6:$O$41,MATCH('без учета бимомента,один тяж'!$J140,'Геом. характеристики швеллера'!$A$6:$A$41,0))))/10-INDEX('Геом. характеристики швеллера'!$I$6:$I$41,MATCH('без учета бимомента,один тяж'!$J140,'Геом. характеристики швеллера'!$A$6:$A$41,0))</f>
        <v>542.41755702098851</v>
      </c>
    </row>
    <row r="141" spans="1:19" x14ac:dyDescent="0.25">
      <c r="B141"/>
      <c r="C141" s="79" t="s">
        <v>283</v>
      </c>
      <c r="D141"/>
      <c r="J141" s="40" t="s">
        <v>218</v>
      </c>
      <c r="K141" s="50">
        <f>(8*$E$17*$E$19/($E$12^2))/(COS(K$110*PI()/180)/(INDEX('Геом. характеристики швеллера'!$K$6:$K$41,MATCH('без учета бимомента,один тяж'!$J141,'Геом. характеристики швеллера'!$A$6:$A$41,0)))+SIN(K$110*PI()/180)/(4*INDEX('Геом. характеристики швеллера'!$O$6:$O$41,MATCH('без учета бимомента,один тяж'!$J141,'Геом. характеристики швеллера'!$A$6:$A$41,0))))/10-INDEX('Геом. характеристики швеллера'!$I$6:$I$41,MATCH('без учета бимомента,один тяж'!$J141,'Геом. характеристики швеллера'!$A$6:$A$41,0))</f>
        <v>1142.3999999999999</v>
      </c>
      <c r="L141" s="50">
        <f>(8*$E$17*$E$19/($E$12^2))/(COS(L$110*PI()/180)/(INDEX('Геом. характеристики швеллера'!$K$6:$K$41,MATCH('без учета бимомента,один тяж'!$J141,'Геом. характеристики швеллера'!$A$6:$A$41,0)))+SIN(L$110*PI()/180)/(4*INDEX('Геом. характеристики швеллера'!$O$6:$O$41,MATCH('без учета бимомента,один тяж'!$J141,'Геом. характеристики швеллера'!$A$6:$A$41,0))))/10-INDEX('Геом. характеристики швеллера'!$I$6:$I$41,MATCH('без учета бимомента,один тяж'!$J141,'Геом. характеристики швеллера'!$A$6:$A$41,0))</f>
        <v>1007.9950092548249</v>
      </c>
      <c r="M141" s="50">
        <f>(8*$E$17*$E$19/($E$12^2))/(COS(M$110*PI()/180)/(INDEX('Геом. характеристики швеллера'!$K$6:$K$41,MATCH('без учета бимомента,один тяж'!$J141,'Геом. характеристики швеллера'!$A$6:$A$41,0)))+SIN(M$110*PI()/180)/(4*INDEX('Геом. характеристики швеллера'!$O$6:$O$41,MATCH('без учета бимомента,один тяж'!$J141,'Геом. характеристики швеллера'!$A$6:$A$41,0))))/10-INDEX('Геом. характеристики швеллера'!$I$6:$I$41,MATCH('без учета бимомента,один тяж'!$J141,'Геом. характеристики швеллера'!$A$6:$A$41,0))</f>
        <v>907.72297151483167</v>
      </c>
      <c r="N141" s="50">
        <f>(8*$E$17*$E$19/($E$12^2))/(COS(N$110*PI()/180)/(INDEX('Геом. характеристики швеллера'!$K$6:$K$41,MATCH('без учета бимомента,один тяж'!$J141,'Геом. характеристики швеллера'!$A$6:$A$41,0)))+SIN(N$110*PI()/180)/(4*INDEX('Геом. характеристики швеллера'!$O$6:$O$41,MATCH('без учета бимомента,один тяж'!$J141,'Геом. характеристики швеллера'!$A$6:$A$41,0))))/10-INDEX('Геом. характеристики швеллера'!$I$6:$I$41,MATCH('без учета бимомента,один тяж'!$J141,'Геом. характеристики швеллера'!$A$6:$A$41,0))</f>
        <v>831.14264451543443</v>
      </c>
      <c r="O141" s="50">
        <f>(8*$E$17*$E$19/($E$12^2))/(COS(O$110*PI()/180)/(INDEX('Геом. характеристики швеллера'!$K$6:$K$41,MATCH('без учета бимомента,один тяж'!$J141,'Геом. характеристики швеллера'!$A$6:$A$41,0)))+SIN(O$110*PI()/180)/(4*INDEX('Геом. характеристики швеллера'!$O$6:$O$41,MATCH('без учета бимомента,один тяж'!$J141,'Геом. характеристики швеллера'!$A$6:$A$41,0))))/10-INDEX('Геом. характеристики швеллера'!$I$6:$I$41,MATCH('без учета бимомента,один тяж'!$J141,'Геом. характеристики швеллера'!$A$6:$A$41,0))</f>
        <v>771.79128884994566</v>
      </c>
      <c r="P141" s="50">
        <f>(8*$E$17*$E$19/($E$12^2))/(COS(P$110*PI()/180)/(INDEX('Геом. характеристики швеллера'!$K$6:$K$41,MATCH('без учета бимомента,один тяж'!$J141,'Геом. характеристики швеллера'!$A$6:$A$41,0)))+SIN(P$110*PI()/180)/(4*INDEX('Геом. характеристики швеллера'!$O$6:$O$41,MATCH('без учета бимомента,один тяж'!$J141,'Геом. характеристики швеллера'!$A$6:$A$41,0))))/10-INDEX('Геом. характеристики швеллера'!$I$6:$I$41,MATCH('без учета бимомента,один тяж'!$J141,'Геом. характеристики швеллера'!$A$6:$A$41,0))</f>
        <v>725.47761410424846</v>
      </c>
      <c r="Q141" s="50">
        <f>(8*$E$17*$E$19/($E$12^2))/(COS(Q$110*PI()/180)/(INDEX('Геом. характеристики швеллера'!$K$6:$K$41,MATCH('без учета бимомента,один тяж'!$J141,'Геом. характеристики швеллера'!$A$6:$A$41,0)))+SIN(Q$110*PI()/180)/(4*INDEX('Геом. характеристики швеллера'!$O$6:$O$41,MATCH('без учета бимомента,один тяж'!$J141,'Геом. характеристики швеллера'!$A$6:$A$41,0))))/10-INDEX('Геом. характеристики швеллера'!$I$6:$I$41,MATCH('без учета бимомента,один тяж'!$J141,'Геом. характеристики швеллера'!$A$6:$A$41,0))</f>
        <v>689.38893422689159</v>
      </c>
    </row>
    <row r="142" spans="1:19" x14ac:dyDescent="0.25">
      <c r="J142" s="40" t="s">
        <v>221</v>
      </c>
      <c r="K142" s="50">
        <f>(8*$E$17*$E$19/($E$12^2))/(COS(K$110*PI()/180)/(INDEX('Геом. характеристики швеллера'!$K$6:$K$41,MATCH('без учета бимомента,один тяж'!$J142,'Геом. характеристики швеллера'!$A$6:$A$41,0)))+SIN(K$110*PI()/180)/(4*INDEX('Геом. характеристики швеллера'!$O$6:$O$41,MATCH('без учета бимомента,один тяж'!$J142,'Геом. характеристики швеллера'!$A$6:$A$41,0))))/10-INDEX('Геом. характеристики швеллера'!$I$6:$I$41,MATCH('без учета бимомента,один тяж'!$J142,'Геом. характеристики швеллера'!$A$6:$A$41,0))</f>
        <v>1460.3</v>
      </c>
      <c r="L142" s="50">
        <f>(8*$E$17*$E$19/($E$12^2))/(COS(L$110*PI()/180)/(INDEX('Геом. характеристики швеллера'!$K$6:$K$41,MATCH('без учета бимомента,один тяж'!$J142,'Геом. характеристики швеллера'!$A$6:$A$41,0)))+SIN(L$110*PI()/180)/(4*INDEX('Геом. характеристики швеллера'!$O$6:$O$41,MATCH('без учета бимомента,один тяж'!$J142,'Геом. характеристики швеллера'!$A$6:$A$41,0))))/10-INDEX('Геом. характеристики швеллера'!$I$6:$I$41,MATCH('без учета бимомента,один тяж'!$J142,'Геом. характеристики швеллера'!$A$6:$A$41,0))</f>
        <v>1276.6110420997391</v>
      </c>
      <c r="M142" s="50">
        <f>(8*$E$17*$E$19/($E$12^2))/(COS(M$110*PI()/180)/(INDEX('Геом. характеристики швеллера'!$K$6:$K$41,MATCH('без учета бимомента,один тяж'!$J142,'Геом. характеристики швеллера'!$A$6:$A$41,0)))+SIN(M$110*PI()/180)/(4*INDEX('Геом. характеристики швеллера'!$O$6:$O$41,MATCH('без учета бимомента,один тяж'!$J142,'Геом. характеристики швеллера'!$A$6:$A$41,0))))/10-INDEX('Геом. характеристики швеллера'!$I$6:$I$41,MATCH('без учета бимомента,один тяж'!$J142,'Геом. характеристики швеллера'!$A$6:$A$41,0))</f>
        <v>1141.2089784742695</v>
      </c>
      <c r="N142" s="50">
        <f>(8*$E$17*$E$19/($E$12^2))/(COS(N$110*PI()/180)/(INDEX('Геом. характеристики швеллера'!$K$6:$K$41,MATCH('без учета бимомента,один тяж'!$J142,'Геом. характеристики швеллера'!$A$6:$A$41,0)))+SIN(N$110*PI()/180)/(4*INDEX('Геом. характеристики швеллера'!$O$6:$O$41,MATCH('без учета бимомента,один тяж'!$J142,'Геом. характеристики швеллера'!$A$6:$A$41,0))))/10-INDEX('Геом. характеристики швеллера'!$I$6:$I$41,MATCH('без учета бимомента,один тяж'!$J142,'Геом. характеристики швеллера'!$A$6:$A$41,0))</f>
        <v>1038.627648194315</v>
      </c>
      <c r="O142" s="50">
        <f>(8*$E$17*$E$19/($E$12^2))/(COS(O$110*PI()/180)/(INDEX('Геом. характеристики швеллера'!$K$6:$K$41,MATCH('без учета бимомента,один тяж'!$J142,'Геом. характеристики швеллера'!$A$6:$A$41,0)))+SIN(O$110*PI()/180)/(4*INDEX('Геом. характеристики швеллера'!$O$6:$O$41,MATCH('без учета бимомента,один тяж'!$J142,'Геом. характеристики швеллера'!$A$6:$A$41,0))))/10-INDEX('Геом. характеристики швеллера'!$I$6:$I$41,MATCH('без учета бимомента,один тяж'!$J142,'Геом. характеристики швеллера'!$A$6:$A$41,0))</f>
        <v>959.50551418667601</v>
      </c>
      <c r="P142" s="50">
        <f>(8*$E$17*$E$19/($E$12^2))/(COS(P$110*PI()/180)/(INDEX('Геом. характеристики швеллера'!$K$6:$K$41,MATCH('без учета бимомента,один тяж'!$J142,'Геом. характеристики швеллера'!$A$6:$A$41,0)))+SIN(P$110*PI()/180)/(4*INDEX('Геом. характеристики швеллера'!$O$6:$O$41,MATCH('без учета бимомента,один тяж'!$J142,'Геом. характеристики швеллера'!$A$6:$A$41,0))))/10-INDEX('Геом. характеристики швеллера'!$I$6:$I$41,MATCH('без учета бимомента,один тяж'!$J142,'Геом. характеристики швеллера'!$A$6:$A$41,0))</f>
        <v>897.87171239414374</v>
      </c>
      <c r="Q142" s="50">
        <f>(8*$E$17*$E$19/($E$12^2))/(COS(Q$110*PI()/180)/(INDEX('Геом. характеристики швеллера'!$K$6:$K$41,MATCH('без учета бимомента,один тяж'!$J142,'Геом. характеристики швеллера'!$A$6:$A$41,0)))+SIN(Q$110*PI()/180)/(4*INDEX('Геом. характеристики швеллера'!$O$6:$O$41,MATCH('без учета бимомента,один тяж'!$J142,'Геом. характеристики швеллера'!$A$6:$A$41,0))))/10-INDEX('Геом. характеристики швеллера'!$I$6:$I$41,MATCH('без учета бимомента,один тяж'!$J142,'Геом. характеристики швеллера'!$A$6:$A$41,0))</f>
        <v>849.76721281721984</v>
      </c>
    </row>
    <row r="143" spans="1:19" x14ac:dyDescent="0.25">
      <c r="J143" s="40" t="s">
        <v>222</v>
      </c>
      <c r="K143" s="50">
        <f>(8*$E$17*$E$19/($E$12^2))/(COS(K$110*PI()/180)/(INDEX('Геом. характеристики швеллера'!$K$6:$K$41,MATCH('без учета бимомента,один тяж'!$J143,'Геом. характеристики швеллера'!$A$6:$A$41,0)))+SIN(K$110*PI()/180)/(4*INDEX('Геом. характеристики швеллера'!$O$6:$O$41,MATCH('без учета бимомента,один тяж'!$J143,'Геом. характеристики швеллера'!$A$6:$A$41,0))))/10-INDEX('Геом. характеристики швеллера'!$I$6:$I$41,MATCH('без учета бимомента,один тяж'!$J143,'Геом. характеристики швеллера'!$A$6:$A$41,0))</f>
        <v>1835.4</v>
      </c>
      <c r="L143" s="50">
        <f>(8*$E$17*$E$19/($E$12^2))/(COS(L$110*PI()/180)/(INDEX('Геом. характеристики швеллера'!$K$6:$K$41,MATCH('без учета бимомента,один тяж'!$J143,'Геом. характеристики швеллера'!$A$6:$A$41,0)))+SIN(L$110*PI()/180)/(4*INDEX('Геом. характеристики швеллера'!$O$6:$O$41,MATCH('без учета бимомента,один тяж'!$J143,'Геом. характеристики швеллера'!$A$6:$A$41,0))))/10-INDEX('Геом. характеристики швеллера'!$I$6:$I$41,MATCH('без учета бимомента,один тяж'!$J143,'Геом. характеристики швеллера'!$A$6:$A$41,0))</f>
        <v>1590.6327636006788</v>
      </c>
      <c r="M143" s="50">
        <f>(8*$E$17*$E$19/($E$12^2))/(COS(M$110*PI()/180)/(INDEX('Геом. характеристики швеллера'!$K$6:$K$41,MATCH('без учета бимомента,один тяж'!$J143,'Геом. характеристики швеллера'!$A$6:$A$41,0)))+SIN(M$110*PI()/180)/(4*INDEX('Геом. характеристики швеллера'!$O$6:$O$41,MATCH('без учета бимомента,один тяж'!$J143,'Геом. характеристики швеллера'!$A$6:$A$41,0))))/10-INDEX('Геом. характеристики швеллера'!$I$6:$I$41,MATCH('без учета бимомента,один тяж'!$J143,'Геом. характеристики швеллера'!$A$6:$A$41,0))</f>
        <v>1412.3171522478624</v>
      </c>
      <c r="N143" s="50">
        <f>(8*$E$17*$E$19/($E$12^2))/(COS(N$110*PI()/180)/(INDEX('Геом. характеристики швеллера'!$K$6:$K$41,MATCH('без учета бимомента,один тяж'!$J143,'Геом. характеристики швеллера'!$A$6:$A$41,0)))+SIN(N$110*PI()/180)/(4*INDEX('Геом. характеристики швеллера'!$O$6:$O$41,MATCH('без учета бимомента,один тяж'!$J143,'Геом. характеристики швеллера'!$A$6:$A$41,0))))/10-INDEX('Геом. характеристики швеллера'!$I$6:$I$41,MATCH('без учета бимомента,один тяж'!$J143,'Геом. характеристики швеллера'!$A$6:$A$41,0))</f>
        <v>1278.2995799792968</v>
      </c>
      <c r="O143" s="50">
        <f>(8*$E$17*$E$19/($E$12^2))/(COS(O$110*PI()/180)/(INDEX('Геом. характеристики швеллера'!$K$6:$K$41,MATCH('без учета бимомента,один тяж'!$J143,'Геом. характеристики швеллера'!$A$6:$A$41,0)))+SIN(O$110*PI()/180)/(4*INDEX('Геом. характеристики швеллера'!$O$6:$O$41,MATCH('без учета бимомента,один тяж'!$J143,'Геом. характеристики швеллера'!$A$6:$A$41,0))))/10-INDEX('Геом. характеристики швеллера'!$I$6:$I$41,MATCH('без учета бимомента,один тяж'!$J143,'Геом. характеристики швеллера'!$A$6:$A$41,0))</f>
        <v>1175.4516172834656</v>
      </c>
      <c r="P143" s="50">
        <f>(8*$E$17*$E$19/($E$12^2))/(COS(P$110*PI()/180)/(INDEX('Геом. характеристики швеллера'!$K$6:$K$41,MATCH('без учета бимомента,один тяж'!$J143,'Геом. характеристики швеллера'!$A$6:$A$41,0)))+SIN(P$110*PI()/180)/(4*INDEX('Геом. характеристики швеллера'!$O$6:$O$41,MATCH('без учета бимомента,один тяж'!$J143,'Геом. характеристики швеллера'!$A$6:$A$41,0))))/10-INDEX('Геом. характеристики швеллера'!$I$6:$I$41,MATCH('без учета бимомента,один тяж'!$J143,'Геом. характеристики швеллера'!$A$6:$A$41,0))</f>
        <v>1095.5313507219009</v>
      </c>
      <c r="Q143" s="50">
        <f>(8*$E$17*$E$19/($E$12^2))/(COS(Q$110*PI()/180)/(INDEX('Геом. характеристики швеллера'!$K$6:$K$41,MATCH('без учета бимомента,один тяж'!$J143,'Геом. характеристики швеллера'!$A$6:$A$41,0)))+SIN(Q$110*PI()/180)/(4*INDEX('Геом. характеристики швеллера'!$O$6:$O$41,MATCH('без учета бимомента,один тяж'!$J143,'Геом. характеристики швеллера'!$A$6:$A$41,0))))/10-INDEX('Геом. характеристики швеллера'!$I$6:$I$41,MATCH('без учета бимомента,один тяж'!$J143,'Геом. характеристики швеллера'!$A$6:$A$41,0))</f>
        <v>1033.1371418087422</v>
      </c>
    </row>
    <row r="144" spans="1:19" ht="18.75" x14ac:dyDescent="0.35">
      <c r="A144" s="2" t="s">
        <v>284</v>
      </c>
      <c r="J144" s="40" t="s">
        <v>224</v>
      </c>
      <c r="K144" s="50">
        <f>(8*$E$17*$E$19/($E$12^2))/(COS(K$110*PI()/180)/(INDEX('Геом. характеристики швеллера'!$K$6:$K$41,MATCH('без учета бимомента,один тяж'!$J144,'Геом. характеристики швеллера'!$A$6:$A$41,0)))+SIN(K$110*PI()/180)/(4*INDEX('Геом. характеристики швеллера'!$O$6:$O$41,MATCH('без учета бимомента,один тяж'!$J144,'Геом. характеристики швеллера'!$A$6:$A$41,0))))/10-INDEX('Геом. характеристики швеллера'!$I$6:$I$41,MATCH('без учета бимомента,один тяж'!$J144,'Геом. характеристики швеллера'!$A$6:$A$41,0))</f>
        <v>2296.2999999999997</v>
      </c>
      <c r="L144" s="50">
        <f>(8*$E$17*$E$19/($E$12^2))/(COS(L$110*PI()/180)/(INDEX('Геом. характеристики швеллера'!$K$6:$K$41,MATCH('без учета бимомента,один тяж'!$J144,'Геом. характеристики швеллера'!$A$6:$A$41,0)))+SIN(L$110*PI()/180)/(4*INDEX('Геом. характеристики швеллера'!$O$6:$O$41,MATCH('без учета бимомента,один тяж'!$J144,'Геом. характеристики швеллера'!$A$6:$A$41,0))))/10-INDEX('Геом. характеристики швеллера'!$I$6:$I$41,MATCH('без учета бимомента,один тяж'!$J144,'Геом. характеристики швеллера'!$A$6:$A$41,0))</f>
        <v>1974.3305381147961</v>
      </c>
      <c r="M144" s="50">
        <f>(8*$E$17*$E$19/($E$12^2))/(COS(M$110*PI()/180)/(INDEX('Геом. характеристики швеллера'!$K$6:$K$41,MATCH('без учета бимомента,один тяж'!$J144,'Геом. характеристики швеллера'!$A$6:$A$41,0)))+SIN(M$110*PI()/180)/(4*INDEX('Геом. характеристики швеллера'!$O$6:$O$41,MATCH('без учета бимомента,один тяж'!$J144,'Геом. характеристики швеллера'!$A$6:$A$41,0))))/10-INDEX('Геом. характеристики швеллера'!$I$6:$I$41,MATCH('без учета бимомента,один тяж'!$J144,'Геом. характеристики швеллера'!$A$6:$A$41,0))</f>
        <v>1742.3540024182123</v>
      </c>
      <c r="N144" s="50">
        <f>(8*$E$17*$E$19/($E$12^2))/(COS(N$110*PI()/180)/(INDEX('Геом. характеристики швеллера'!$K$6:$K$41,MATCH('без учета бимомента,один тяж'!$J144,'Геом. характеристики швеллера'!$A$6:$A$41,0)))+SIN(N$110*PI()/180)/(4*INDEX('Геом. характеристики швеллера'!$O$6:$O$41,MATCH('без учета бимомента,один тяж'!$J144,'Геом. характеристики швеллера'!$A$6:$A$41,0))))/10-INDEX('Геом. характеристики швеллера'!$I$6:$I$41,MATCH('без учета бимомента,один тяж'!$J144,'Геом. характеристики швеллера'!$A$6:$A$41,0))</f>
        <v>1569.3219654757672</v>
      </c>
      <c r="O144" s="50">
        <f>(8*$E$17*$E$19/($E$12^2))/(COS(O$110*PI()/180)/(INDEX('Геом. характеристики швеллера'!$K$6:$K$41,MATCH('без учета бимомента,один тяж'!$J144,'Геом. характеристики швеллера'!$A$6:$A$41,0)))+SIN(O$110*PI()/180)/(4*INDEX('Геом. характеристики швеллера'!$O$6:$O$41,MATCH('без учета бимомента,один тяж'!$J144,'Геом. характеристики швеллера'!$A$6:$A$41,0))))/10-INDEX('Геом. характеристики швеллера'!$I$6:$I$41,MATCH('без учета бимомента,один тяж'!$J144,'Геом. характеристики швеллера'!$A$6:$A$41,0))</f>
        <v>1437.1894499929322</v>
      </c>
      <c r="P144" s="50">
        <f>(8*$E$17*$E$19/($E$12^2))/(COS(P$110*PI()/180)/(INDEX('Геом. характеристики швеллера'!$K$6:$K$41,MATCH('без учета бимомента,один тяж'!$J144,'Геом. характеристики швеллера'!$A$6:$A$41,0)))+SIN(P$110*PI()/180)/(4*INDEX('Геом. характеристики швеллера'!$O$6:$O$41,MATCH('без учета бимомента,один тяж'!$J144,'Геом. характеристики швеллера'!$A$6:$A$41,0))))/10-INDEX('Геом. характеристики швеллера'!$I$6:$I$41,MATCH('без учета бимомента,один тяж'!$J144,'Геом. характеристики швеллера'!$A$6:$A$41,0))</f>
        <v>1334.7912752762902</v>
      </c>
      <c r="Q144" s="50">
        <f>(8*$E$17*$E$19/($E$12^2))/(COS(Q$110*PI()/180)/(INDEX('Геом. характеристики швеллера'!$K$6:$K$41,MATCH('без учета бимомента,один тяж'!$J144,'Геом. характеристики швеллера'!$A$6:$A$41,0)))+SIN(Q$110*PI()/180)/(4*INDEX('Геом. характеристики швеллера'!$O$6:$O$41,MATCH('без учета бимомента,один тяж'!$J144,'Геом. характеристики швеллера'!$A$6:$A$41,0))))/10-INDEX('Геом. характеристики швеллера'!$I$6:$I$41,MATCH('без учета бимомента,один тяж'!$J144,'Геом. характеристики швеллера'!$A$6:$A$41,0))</f>
        <v>1254.8883942440318</v>
      </c>
    </row>
    <row r="145" spans="1:17" x14ac:dyDescent="0.25">
      <c r="J145" s="40" t="s">
        <v>226</v>
      </c>
      <c r="K145" s="50">
        <f>(8*$E$17*$E$19/($E$12^2))/(COS(K$110*PI()/180)/(INDEX('Геом. характеристики швеллера'!$K$6:$K$41,MATCH('без учета бимомента,один тяж'!$J145,'Геом. характеристики швеллера'!$A$6:$A$41,0)))+SIN(K$110*PI()/180)/(4*INDEX('Геом. характеристики швеллера'!$O$6:$O$41,MATCH('без учета бимомента,один тяж'!$J145,'Геом. характеристики швеллера'!$A$6:$A$41,0))))/10-INDEX('Геом. характеристики швеллера'!$I$6:$I$41,MATCH('без учета бимомента,один тяж'!$J145,'Геом. характеристики швеллера'!$A$6:$A$41,0))</f>
        <v>2852.5</v>
      </c>
      <c r="L145" s="50">
        <f>(8*$E$17*$E$19/($E$12^2))/(COS(L$110*PI()/180)/(INDEX('Геом. характеристики швеллера'!$K$6:$K$41,MATCH('без учета бимомента,один тяж'!$J145,'Геом. характеристики швеллера'!$A$6:$A$41,0)))+SIN(L$110*PI()/180)/(4*INDEX('Геом. характеристики швеллера'!$O$6:$O$41,MATCH('без учета бимомента,один тяж'!$J145,'Геом. характеристики швеллера'!$A$6:$A$41,0))))/10-INDEX('Геом. характеристики швеллера'!$I$6:$I$41,MATCH('без учета бимомента,один тяж'!$J145,'Геом. характеристики швеллера'!$A$6:$A$41,0))</f>
        <v>2435.3487270636065</v>
      </c>
      <c r="M145" s="50">
        <f>(8*$E$17*$E$19/($E$12^2))/(COS(M$110*PI()/180)/(INDEX('Геом. характеристики швеллера'!$K$6:$K$41,MATCH('без учета бимомента,один тяж'!$J145,'Геом. характеристики швеллера'!$A$6:$A$41,0)))+SIN(M$110*PI()/180)/(4*INDEX('Геом. характеристики швеллера'!$O$6:$O$41,MATCH('без учета бимомента,один тяж'!$J145,'Геом. характеристики швеллера'!$A$6:$A$41,0))))/10-INDEX('Геом. характеристики швеллера'!$I$6:$I$41,MATCH('без учета бимомента,один тяж'!$J145,'Геом. характеристики швеллера'!$A$6:$A$41,0))</f>
        <v>2137.7924380013715</v>
      </c>
      <c r="N145" s="50">
        <f>(8*$E$17*$E$19/($E$12^2))/(COS(N$110*PI()/180)/(INDEX('Геом. характеристики швеллера'!$K$6:$K$41,MATCH('без учета бимомента,один тяж'!$J145,'Геом. характеристики швеллера'!$A$6:$A$41,0)))+SIN(N$110*PI()/180)/(4*INDEX('Геом. характеристики швеллера'!$O$6:$O$41,MATCH('без учета бимомента,один тяж'!$J145,'Геом. характеристики швеллера'!$A$6:$A$41,0))))/10-INDEX('Геом. характеристики швеллера'!$I$6:$I$41,MATCH('без учета бимомента,один тяж'!$J145,'Геом. характеристики швеллера'!$A$6:$A$41,0))</f>
        <v>1917.3652515208435</v>
      </c>
      <c r="O145" s="50">
        <f>(8*$E$17*$E$19/($E$12^2))/(COS(O$110*PI()/180)/(INDEX('Геом. характеристики швеллера'!$K$6:$K$41,MATCH('без учета бимомента,один тяж'!$J145,'Геом. характеристики швеллера'!$A$6:$A$41,0)))+SIN(O$110*PI()/180)/(4*INDEX('Геом. характеристики швеллера'!$O$6:$O$41,MATCH('без учета бимомента,один тяж'!$J145,'Геом. характеристики швеллера'!$A$6:$A$41,0))))/10-INDEX('Геом. характеристики швеллера'!$I$6:$I$41,MATCH('без учета бимомента,один тяж'!$J145,'Геом. характеристики швеллера'!$A$6:$A$41,0))</f>
        <v>1749.8098302963845</v>
      </c>
      <c r="P145" s="50">
        <f>(8*$E$17*$E$19/($E$12^2))/(COS(P$110*PI()/180)/(INDEX('Геом. характеристики швеллера'!$K$6:$K$41,MATCH('без учета бимомента,один тяж'!$J145,'Геом. характеристики швеллера'!$A$6:$A$41,0)))+SIN(P$110*PI()/180)/(4*INDEX('Геом. характеристики швеллера'!$O$6:$O$41,MATCH('без учета бимомента,один тяж'!$J145,'Геом. характеристики швеллера'!$A$6:$A$41,0))))/10-INDEX('Геом. характеристики швеллера'!$I$6:$I$41,MATCH('без учета бимомента,один тяж'!$J145,'Геом. характеристики швеллера'!$A$6:$A$41,0))</f>
        <v>1620.3089358704779</v>
      </c>
      <c r="Q145" s="50">
        <f>(8*$E$17*$E$19/($E$12^2))/(COS(Q$110*PI()/180)/(INDEX('Геом. характеристики швеллера'!$K$6:$K$41,MATCH('без учета бимомента,один тяж'!$J145,'Геом. характеристики швеллера'!$A$6:$A$41,0)))+SIN(Q$110*PI()/180)/(4*INDEX('Геом. характеристики швеллера'!$O$6:$O$41,MATCH('без учета бимомента,один тяж'!$J145,'Геом. характеристики швеллера'!$A$6:$A$41,0))))/10-INDEX('Геом. характеристики швеллера'!$I$6:$I$41,MATCH('без учета бимомента,один тяж'!$J145,'Геом. характеристики швеллера'!$A$6:$A$41,0))</f>
        <v>1519.3474006544907</v>
      </c>
    </row>
    <row r="146" spans="1:17" ht="16.5" thickBot="1" x14ac:dyDescent="0.3">
      <c r="A146"/>
      <c r="C146" s="2">
        <f>C88/(E18*E19*E24*(E22-2*E25))*1000</f>
        <v>0.13523116500633936</v>
      </c>
      <c r="E146" s="115" t="str">
        <f>IF(C146&lt;1,"Условия прочности обеспечены","Условия прочности не обеспечены")</f>
        <v>Условия прочности обеспечены</v>
      </c>
      <c r="F146" s="115"/>
      <c r="G146" s="115"/>
      <c r="J146" s="41" t="s">
        <v>229</v>
      </c>
      <c r="K146" s="50">
        <f>(8*$E$17*$E$19/($E$12^2))/(COS(K$110*PI()/180)/(INDEX('Геом. характеристики швеллера'!$K$6:$K$41,MATCH('без учета бимомента,один тяж'!$J146,'Геом. характеристики швеллера'!$A$6:$A$41,0)))+SIN(K$110*PI()/180)/(4*INDEX('Геом. характеристики швеллера'!$O$6:$O$41,MATCH('без учета бимомента,один тяж'!$J146,'Геом. характеристики швеллера'!$A$6:$A$41,0))))/10-INDEX('Геом. характеристики швеллера'!$I$6:$I$41,MATCH('без учета бимомента,один тяж'!$J146,'Геом. характеристики швеллера'!$A$6:$A$41,0))</f>
        <v>3614.1</v>
      </c>
      <c r="L146" s="50">
        <f>(8*$E$17*$E$19/($E$12^2))/(COS(L$110*PI()/180)/(INDEX('Геом. характеристики швеллера'!$K$6:$K$41,MATCH('без учета бимомента,один тяж'!$J146,'Геом. характеристики швеллера'!$A$6:$A$41,0)))+SIN(L$110*PI()/180)/(4*INDEX('Геом. характеристики швеллера'!$O$6:$O$41,MATCH('без учета бимомента,один тяж'!$J146,'Геом. характеристики швеллера'!$A$6:$A$41,0))))/10-INDEX('Геом. характеристики швеллера'!$I$6:$I$41,MATCH('без учета бимомента,один тяж'!$J146,'Геом. характеристики швеллера'!$A$6:$A$41,0))</f>
        <v>3052.4806345350589</v>
      </c>
      <c r="M146" s="50">
        <f>(8*$E$17*$E$19/($E$12^2))/(COS(M$110*PI()/180)/(INDEX('Геом. характеристики швеллера'!$K$6:$K$41,MATCH('без учета бимомента,один тяж'!$J146,'Геом. характеристики швеллера'!$A$6:$A$41,0)))+SIN(M$110*PI()/180)/(4*INDEX('Геом. характеристики швеллера'!$O$6:$O$41,MATCH('без учета бимомента,один тяж'!$J146,'Геом. характеристики швеллера'!$A$6:$A$41,0))))/10-INDEX('Геом. характеристики швеллера'!$I$6:$I$41,MATCH('без учета бимомента,один тяж'!$J146,'Геом. характеристики швеллера'!$A$6:$A$41,0))</f>
        <v>2658.0639375149221</v>
      </c>
      <c r="N146" s="50">
        <f>(8*$E$17*$E$19/($E$12^2))/(COS(N$110*PI()/180)/(INDEX('Геом. характеристики швеллера'!$K$6:$K$41,MATCH('без учета бимомента,один тяж'!$J146,'Геом. характеристики швеллера'!$A$6:$A$41,0)))+SIN(N$110*PI()/180)/(4*INDEX('Геом. характеристики швеллера'!$O$6:$O$41,MATCH('без учета бимомента,один тяж'!$J146,'Геом. характеристики швеллера'!$A$6:$A$41,0))))/10-INDEX('Геом. характеристики швеллера'!$I$6:$I$41,MATCH('без учета бимомента,один тяж'!$J146,'Геом. характеристики швеллера'!$A$6:$A$41,0))</f>
        <v>2368.9843842486935</v>
      </c>
      <c r="O146" s="50">
        <f>(8*$E$17*$E$19/($E$12^2))/(COS(O$110*PI()/180)/(INDEX('Геом. характеристики швеллера'!$K$6:$K$41,MATCH('без учета бимомента,один тяж'!$J146,'Геом. характеристики швеллера'!$A$6:$A$41,0)))+SIN(O$110*PI()/180)/(4*INDEX('Геом. характеристики швеллера'!$O$6:$O$41,MATCH('без учета бимомента,один тяж'!$J146,'Геом. характеристики швеллера'!$A$6:$A$41,0))))/10-INDEX('Геом. характеристики швеллера'!$I$6:$I$41,MATCH('без учета бимомента,один тяж'!$J146,'Геом. характеристики швеллера'!$A$6:$A$41,0))</f>
        <v>2150.8223562734602</v>
      </c>
      <c r="P146" s="50">
        <f>(8*$E$17*$E$19/($E$12^2))/(COS(P$110*PI()/180)/(INDEX('Геом. характеристики швеллера'!$K$6:$K$41,MATCH('без учета бимомента,один тяж'!$J146,'Геом. характеристики швеллера'!$A$6:$A$41,0)))+SIN(P$110*PI()/180)/(4*INDEX('Геом. характеристики швеллера'!$O$6:$O$41,MATCH('без учета бимомента,один тяж'!$J146,'Геом. характеристики швеллера'!$A$6:$A$41,0))))/10-INDEX('Геом. характеристики швеллера'!$I$6:$I$41,MATCH('без учета бимомента,один тяж'!$J146,'Геом. характеристики швеллера'!$A$6:$A$41,0))</f>
        <v>1982.9585973225155</v>
      </c>
      <c r="Q146" s="50">
        <f>(8*$E$17*$E$19/($E$12^2))/(COS(Q$110*PI()/180)/(INDEX('Геом. характеристики швеллера'!$K$6:$K$41,MATCH('без учета бимомента,один тяж'!$J146,'Геом. характеристики швеллера'!$A$6:$A$41,0)))+SIN(Q$110*PI()/180)/(4*INDEX('Геом. характеристики швеллера'!$O$6:$O$41,MATCH('без учета бимомента,один тяж'!$J146,'Геом. характеристики швеллера'!$A$6:$A$41,0))))/10-INDEX('Геом. характеристики швеллера'!$I$6:$I$41,MATCH('без учета бимомента,один тяж'!$J146,'Геом. характеристики швеллера'!$A$6:$A$41,0))</f>
        <v>1852.3434240004997</v>
      </c>
    </row>
    <row r="148" spans="1:17" x14ac:dyDescent="0.25">
      <c r="C148" s="2">
        <f>C92/(E18*E19*2*E23*E25)*1000</f>
        <v>3.6873716139030786E-3</v>
      </c>
      <c r="E148" s="115" t="str">
        <f>IF(C148&lt;1,"Условия прочности обеспечены","Условия прочности не обеспечены")</f>
        <v>Условия прочности обеспечены</v>
      </c>
      <c r="F148" s="115"/>
      <c r="G148" s="115"/>
    </row>
    <row r="149" spans="1:17" x14ac:dyDescent="0.25">
      <c r="A149"/>
    </row>
    <row r="150" spans="1:17" x14ac:dyDescent="0.25">
      <c r="A150" s="2" t="s">
        <v>286</v>
      </c>
    </row>
    <row r="152" spans="1:17" x14ac:dyDescent="0.25">
      <c r="A152" s="93" t="s">
        <v>287</v>
      </c>
      <c r="B152" s="93"/>
      <c r="C152" s="93"/>
      <c r="D152" s="93"/>
      <c r="E152" s="93"/>
      <c r="F152" s="93"/>
      <c r="G152" s="93"/>
    </row>
    <row r="154" spans="1:17" x14ac:dyDescent="0.25">
      <c r="A154" s="2" t="s">
        <v>288</v>
      </c>
    </row>
    <row r="156" spans="1:17" x14ac:dyDescent="0.25">
      <c r="A156" s="2" t="s">
        <v>289</v>
      </c>
    </row>
    <row r="158" spans="1:17" x14ac:dyDescent="0.25">
      <c r="A158" s="113" t="s">
        <v>293</v>
      </c>
      <c r="B158" s="113"/>
      <c r="C158" s="113"/>
      <c r="D158" s="113"/>
      <c r="E158" s="113"/>
      <c r="F158" s="113"/>
      <c r="G158" s="113"/>
    </row>
    <row r="160" spans="1:17" ht="16.5" thickBot="1" x14ac:dyDescent="0.3">
      <c r="A160" s="112" t="s">
        <v>292</v>
      </c>
      <c r="B160" s="82" t="s">
        <v>291</v>
      </c>
      <c r="C160" s="112" t="s">
        <v>276</v>
      </c>
      <c r="D160" s="112">
        <f>E12/B161</f>
        <v>0.03</v>
      </c>
      <c r="E160" s="114" t="s">
        <v>290</v>
      </c>
    </row>
    <row r="161" spans="1:7" x14ac:dyDescent="0.25">
      <c r="A161" s="112"/>
      <c r="B161" s="83">
        <f>IF(E12&lt;=1,120,IF(E12&lt;=3,150,IF(E12&lt;=6,200,IF(E12&lt;=24,250,300))))</f>
        <v>200</v>
      </c>
      <c r="C161" s="112"/>
      <c r="D161" s="112"/>
      <c r="E161" s="114"/>
    </row>
    <row r="163" spans="1:7" x14ac:dyDescent="0.25">
      <c r="A163" s="2" t="s">
        <v>294</v>
      </c>
    </row>
    <row r="165" spans="1:7" x14ac:dyDescent="0.25">
      <c r="A165"/>
      <c r="B165"/>
      <c r="D165" s="2">
        <f>(5*(E14*E13/1.4+E15*E13+E21)*(E12^4))/(384*200*E27)</f>
        <v>2.2073004201680669E-2</v>
      </c>
      <c r="E165" s="2" t="s">
        <v>290</v>
      </c>
    </row>
    <row r="167" spans="1:7" x14ac:dyDescent="0.25">
      <c r="A167" s="93" t="s">
        <v>296</v>
      </c>
      <c r="B167" s="93"/>
      <c r="C167" s="93"/>
      <c r="D167" s="93"/>
      <c r="E167" s="93"/>
      <c r="F167" s="93"/>
      <c r="G167" s="93"/>
    </row>
    <row r="169" spans="1:7" x14ac:dyDescent="0.25">
      <c r="A169" s="81" t="str">
        <f>IF(D160&gt;D165,"Условия прочности обеспечены","Условия прочности не обеспечены")</f>
        <v>Условия прочности обеспечены</v>
      </c>
      <c r="B169" s="81"/>
      <c r="C169" s="81"/>
      <c r="D169" s="81"/>
    </row>
  </sheetData>
  <mergeCells count="55">
    <mergeCell ref="J84:Q85"/>
    <mergeCell ref="A107:G107"/>
    <mergeCell ref="E112:G112"/>
    <mergeCell ref="A66:G66"/>
    <mergeCell ref="J109:J110"/>
    <mergeCell ref="K109:Q109"/>
    <mergeCell ref="J86:J87"/>
    <mergeCell ref="K86:Q86"/>
    <mergeCell ref="J106:Q108"/>
    <mergeCell ref="A20:D20"/>
    <mergeCell ref="A21:D21"/>
    <mergeCell ref="A28:D28"/>
    <mergeCell ref="A29:D29"/>
    <mergeCell ref="A35:D35"/>
    <mergeCell ref="A22:D22"/>
    <mergeCell ref="A23:D23"/>
    <mergeCell ref="A24:D24"/>
    <mergeCell ref="A25:D25"/>
    <mergeCell ref="A26:D26"/>
    <mergeCell ref="A27:D27"/>
    <mergeCell ref="A14:D14"/>
    <mergeCell ref="A15:D15"/>
    <mergeCell ref="A16:D16"/>
    <mergeCell ref="A17:D17"/>
    <mergeCell ref="A19:D19"/>
    <mergeCell ref="A18:D18"/>
    <mergeCell ref="A13:D13"/>
    <mergeCell ref="A1:G1"/>
    <mergeCell ref="I1:P1"/>
    <mergeCell ref="I2:I3"/>
    <mergeCell ref="J2:P2"/>
    <mergeCell ref="B4:F4"/>
    <mergeCell ref="B5:F5"/>
    <mergeCell ref="B6:F6"/>
    <mergeCell ref="B7:F7"/>
    <mergeCell ref="B8:C8"/>
    <mergeCell ref="A11:D11"/>
    <mergeCell ref="A12:D12"/>
    <mergeCell ref="E121:G121"/>
    <mergeCell ref="E135:G135"/>
    <mergeCell ref="A37:D37"/>
    <mergeCell ref="A36:D36"/>
    <mergeCell ref="A38:D38"/>
    <mergeCell ref="A39:D39"/>
    <mergeCell ref="A47:G47"/>
    <mergeCell ref="A84:G84"/>
    <mergeCell ref="A167:G167"/>
    <mergeCell ref="E146:G146"/>
    <mergeCell ref="E148:G148"/>
    <mergeCell ref="A152:G152"/>
    <mergeCell ref="A158:G158"/>
    <mergeCell ref="A160:A161"/>
    <mergeCell ref="C160:C161"/>
    <mergeCell ref="D160:D161"/>
    <mergeCell ref="E160:E161"/>
  </mergeCells>
  <pageMargins left="0.7" right="0.7" top="0.75" bottom="0.75" header="0.3" footer="0.3"/>
  <pageSetup paperSize="9" orientation="portrait" r:id="rId1"/>
  <headerFooter>
    <oddFooter>&amp;Cbuildingbook.ru&amp;R&amp;P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1</xdr:col>
                <xdr:colOff>0</xdr:colOff>
                <xdr:row>87</xdr:row>
                <xdr:rowOff>0</xdr:rowOff>
              </from>
              <to>
                <xdr:col>1</xdr:col>
                <xdr:colOff>333375</xdr:colOff>
                <xdr:row>88</xdr:row>
                <xdr:rowOff>28575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7">
            <anchor moveWithCells="1" sizeWithCells="1">
              <from>
                <xdr:col>0</xdr:col>
                <xdr:colOff>533400</xdr:colOff>
                <xdr:row>84</xdr:row>
                <xdr:rowOff>95250</xdr:rowOff>
              </from>
              <to>
                <xdr:col>3</xdr:col>
                <xdr:colOff>476250</xdr:colOff>
                <xdr:row>86</xdr:row>
                <xdr:rowOff>95250</xdr:rowOff>
              </to>
            </anchor>
          </objectPr>
        </oleObject>
      </mc:Choice>
      <mc:Fallback>
        <oleObject progId="Equation.3" shapeId="7170" r:id="rId6"/>
      </mc:Fallback>
    </mc:AlternateContent>
    <mc:AlternateContent xmlns:mc="http://schemas.openxmlformats.org/markup-compatibility/2006">
      <mc:Choice Requires="x14">
        <oleObject progId="Equation.3" shapeId="7172" r:id="rId8">
          <objectPr defaultSize="0" autoPict="0" r:id="rId9">
            <anchor moveWithCells="1" sizeWithCells="1">
              <from>
                <xdr:col>1</xdr:col>
                <xdr:colOff>0</xdr:colOff>
                <xdr:row>90</xdr:row>
                <xdr:rowOff>180975</xdr:rowOff>
              </from>
              <to>
                <xdr:col>1</xdr:col>
                <xdr:colOff>333375</xdr:colOff>
                <xdr:row>92</xdr:row>
                <xdr:rowOff>19050</xdr:rowOff>
              </to>
            </anchor>
          </objectPr>
        </oleObject>
      </mc:Choice>
      <mc:Fallback>
        <oleObject progId="Equation.3" shapeId="7172" r:id="rId8"/>
      </mc:Fallback>
    </mc:AlternateContent>
    <mc:AlternateContent xmlns:mc="http://schemas.openxmlformats.org/markup-compatibility/2006">
      <mc:Choice Requires="x14">
        <oleObject progId="Equation.3" shapeId="7173" r:id="rId10">
          <objectPr defaultSize="0" autoPict="0" r:id="rId11">
            <anchor moveWithCells="1" sizeWithCells="1">
              <from>
                <xdr:col>0</xdr:col>
                <xdr:colOff>523875</xdr:colOff>
                <xdr:row>96</xdr:row>
                <xdr:rowOff>66675</xdr:rowOff>
              </from>
              <to>
                <xdr:col>4</xdr:col>
                <xdr:colOff>133350</xdr:colOff>
                <xdr:row>98</xdr:row>
                <xdr:rowOff>85725</xdr:rowOff>
              </to>
            </anchor>
          </objectPr>
        </oleObject>
      </mc:Choice>
      <mc:Fallback>
        <oleObject progId="Equation.3" shapeId="7173" r:id="rId10"/>
      </mc:Fallback>
    </mc:AlternateContent>
    <mc:AlternateContent xmlns:mc="http://schemas.openxmlformats.org/markup-compatibility/2006">
      <mc:Choice Requires="x14">
        <oleObject progId="Equation.3" shapeId="7174" r:id="rId12">
          <objectPr defaultSize="0" autoPict="0" r:id="rId13">
            <anchor moveWithCells="1" sizeWithCells="1">
              <from>
                <xdr:col>1</xdr:col>
                <xdr:colOff>0</xdr:colOff>
                <xdr:row>99</xdr:row>
                <xdr:rowOff>0</xdr:rowOff>
              </from>
              <to>
                <xdr:col>1</xdr:col>
                <xdr:colOff>381000</xdr:colOff>
                <xdr:row>100</xdr:row>
                <xdr:rowOff>28575</xdr:rowOff>
              </to>
            </anchor>
          </objectPr>
        </oleObject>
      </mc:Choice>
      <mc:Fallback>
        <oleObject progId="Equation.3" shapeId="7174" r:id="rId12"/>
      </mc:Fallback>
    </mc:AlternateContent>
    <mc:AlternateContent xmlns:mc="http://schemas.openxmlformats.org/markup-compatibility/2006">
      <mc:Choice Requires="x14">
        <oleObject progId="Equation.3" shapeId="7176" r:id="rId14">
          <objectPr defaultSize="0" autoPict="0" r:id="rId15">
            <anchor moveWithCells="1" sizeWithCells="1">
              <from>
                <xdr:col>1</xdr:col>
                <xdr:colOff>9525</xdr:colOff>
                <xdr:row>102</xdr:row>
                <xdr:rowOff>152400</xdr:rowOff>
              </from>
              <to>
                <xdr:col>1</xdr:col>
                <xdr:colOff>390525</xdr:colOff>
                <xdr:row>104</xdr:row>
                <xdr:rowOff>0</xdr:rowOff>
              </to>
            </anchor>
          </objectPr>
        </oleObject>
      </mc:Choice>
      <mc:Fallback>
        <oleObject progId="Equation.3" shapeId="7176" r:id="rId14"/>
      </mc:Fallback>
    </mc:AlternateContent>
    <mc:AlternateContent xmlns:mc="http://schemas.openxmlformats.org/markup-compatibility/2006">
      <mc:Choice Requires="x14">
        <oleObject progId="Equation.3" shapeId="7177" r:id="rId16">
          <objectPr defaultSize="0" autoPict="0" r:id="rId17">
            <anchor moveWithCells="1" sizeWithCells="1">
              <from>
                <xdr:col>1</xdr:col>
                <xdr:colOff>0</xdr:colOff>
                <xdr:row>108</xdr:row>
                <xdr:rowOff>0</xdr:rowOff>
              </from>
              <to>
                <xdr:col>3</xdr:col>
                <xdr:colOff>304800</xdr:colOff>
                <xdr:row>110</xdr:row>
                <xdr:rowOff>57150</xdr:rowOff>
              </to>
            </anchor>
          </objectPr>
        </oleObject>
      </mc:Choice>
      <mc:Fallback>
        <oleObject progId="Equation.3" shapeId="7177" r:id="rId16"/>
      </mc:Fallback>
    </mc:AlternateContent>
    <mc:AlternateContent xmlns:mc="http://schemas.openxmlformats.org/markup-compatibility/2006">
      <mc:Choice Requires="x14">
        <oleObject progId="Equation.3" shapeId="7178" r:id="rId18">
          <objectPr defaultSize="0" autoPict="0" r:id="rId19">
            <anchor moveWithCells="1" sizeWithCells="1">
              <from>
                <xdr:col>0</xdr:col>
                <xdr:colOff>352425</xdr:colOff>
                <xdr:row>110</xdr:row>
                <xdr:rowOff>95250</xdr:rowOff>
              </from>
              <to>
                <xdr:col>3</xdr:col>
                <xdr:colOff>28575</xdr:colOff>
                <xdr:row>112</xdr:row>
                <xdr:rowOff>152400</xdr:rowOff>
              </to>
            </anchor>
          </objectPr>
        </oleObject>
      </mc:Choice>
      <mc:Fallback>
        <oleObject progId="Equation.3" shapeId="7178" r:id="rId18"/>
      </mc:Fallback>
    </mc:AlternateContent>
    <mc:AlternateContent xmlns:mc="http://schemas.openxmlformats.org/markup-compatibility/2006">
      <mc:Choice Requires="x14">
        <oleObject progId="Equation.3" shapeId="7181" r:id="rId20">
          <objectPr defaultSize="0" autoPict="0" r:id="rId21">
            <anchor moveWithCells="1" sizeWithCells="1">
              <from>
                <xdr:col>1</xdr:col>
                <xdr:colOff>19050</xdr:colOff>
                <xdr:row>100</xdr:row>
                <xdr:rowOff>85725</xdr:rowOff>
              </from>
              <to>
                <xdr:col>2</xdr:col>
                <xdr:colOff>552450</xdr:colOff>
                <xdr:row>102</xdr:row>
                <xdr:rowOff>104775</xdr:rowOff>
              </to>
            </anchor>
          </objectPr>
        </oleObject>
      </mc:Choice>
      <mc:Fallback>
        <oleObject progId="Equation.3" shapeId="7181" r:id="rId20"/>
      </mc:Fallback>
    </mc:AlternateContent>
    <mc:AlternateContent xmlns:mc="http://schemas.openxmlformats.org/markup-compatibility/2006">
      <mc:Choice Requires="x14">
        <oleObject progId="Equation.3" shapeId="7183" r:id="rId22">
          <objectPr defaultSize="0" autoPict="0" r:id="rId9">
            <anchor moveWithCells="1" sizeWithCells="1">
              <from>
                <xdr:col>1</xdr:col>
                <xdr:colOff>9525</xdr:colOff>
                <xdr:row>94</xdr:row>
                <xdr:rowOff>180975</xdr:rowOff>
              </from>
              <to>
                <xdr:col>1</xdr:col>
                <xdr:colOff>342900</xdr:colOff>
                <xdr:row>96</xdr:row>
                <xdr:rowOff>19050</xdr:rowOff>
              </to>
            </anchor>
          </objectPr>
        </oleObject>
      </mc:Choice>
      <mc:Fallback>
        <oleObject progId="Equation.3" shapeId="7183" r:id="rId22"/>
      </mc:Fallback>
    </mc:AlternateContent>
    <mc:AlternateContent xmlns:mc="http://schemas.openxmlformats.org/markup-compatibility/2006">
      <mc:Choice Requires="x14">
        <oleObject progId="Equation.3" shapeId="7184" r:id="rId23">
          <objectPr defaultSize="0" autoPict="0" r:id="rId24">
            <anchor moveWithCells="1" sizeWithCells="1">
              <from>
                <xdr:col>1</xdr:col>
                <xdr:colOff>0</xdr:colOff>
                <xdr:row>88</xdr:row>
                <xdr:rowOff>123825</xdr:rowOff>
              </from>
              <to>
                <xdr:col>2</xdr:col>
                <xdr:colOff>485775</xdr:colOff>
                <xdr:row>90</xdr:row>
                <xdr:rowOff>76200</xdr:rowOff>
              </to>
            </anchor>
          </objectPr>
        </oleObject>
      </mc:Choice>
      <mc:Fallback>
        <oleObject progId="Equation.3" shapeId="7184" r:id="rId23"/>
      </mc:Fallback>
    </mc:AlternateContent>
    <mc:AlternateContent xmlns:mc="http://schemas.openxmlformats.org/markup-compatibility/2006">
      <mc:Choice Requires="x14">
        <oleObject progId="Equation.3" shapeId="7185" r:id="rId25">
          <objectPr defaultSize="0" autoPict="0" r:id="rId26">
            <anchor moveWithCells="1" sizeWithCells="1">
              <from>
                <xdr:col>1</xdr:col>
                <xdr:colOff>0</xdr:colOff>
                <xdr:row>92</xdr:row>
                <xdr:rowOff>85725</xdr:rowOff>
              </from>
              <to>
                <xdr:col>2</xdr:col>
                <xdr:colOff>485775</xdr:colOff>
                <xdr:row>94</xdr:row>
                <xdr:rowOff>76200</xdr:rowOff>
              </to>
            </anchor>
          </objectPr>
        </oleObject>
      </mc:Choice>
      <mc:Fallback>
        <oleObject progId="Equation.3" shapeId="7185" r:id="rId25"/>
      </mc:Fallback>
    </mc:AlternateContent>
    <mc:AlternateContent xmlns:mc="http://schemas.openxmlformats.org/markup-compatibility/2006">
      <mc:Choice Requires="x14">
        <oleObject progId="Equation.3" shapeId="7187" r:id="rId27">
          <objectPr defaultSize="0" autoPict="0" r:id="rId28">
            <anchor moveWithCells="1" sizeWithCells="1">
              <from>
                <xdr:col>0</xdr:col>
                <xdr:colOff>457200</xdr:colOff>
                <xdr:row>117</xdr:row>
                <xdr:rowOff>47625</xdr:rowOff>
              </from>
              <to>
                <xdr:col>2</xdr:col>
                <xdr:colOff>209550</xdr:colOff>
                <xdr:row>119</xdr:row>
                <xdr:rowOff>76200</xdr:rowOff>
              </to>
            </anchor>
          </objectPr>
        </oleObject>
      </mc:Choice>
      <mc:Fallback>
        <oleObject progId="Equation.3" shapeId="7187" r:id="rId27"/>
      </mc:Fallback>
    </mc:AlternateContent>
    <mc:AlternateContent xmlns:mc="http://schemas.openxmlformats.org/markup-compatibility/2006">
      <mc:Choice Requires="x14">
        <oleObject progId="Equation.3" shapeId="7188" r:id="rId29">
          <objectPr defaultSize="0" autoPict="0" r:id="rId30">
            <anchor moveWithCells="1" sizeWithCells="1">
              <from>
                <xdr:col>0</xdr:col>
                <xdr:colOff>295275</xdr:colOff>
                <xdr:row>119</xdr:row>
                <xdr:rowOff>104775</xdr:rowOff>
              </from>
              <to>
                <xdr:col>1</xdr:col>
                <xdr:colOff>400050</xdr:colOff>
                <xdr:row>121</xdr:row>
                <xdr:rowOff>133350</xdr:rowOff>
              </to>
            </anchor>
          </objectPr>
        </oleObject>
      </mc:Choice>
      <mc:Fallback>
        <oleObject progId="Equation.3" shapeId="7188" r:id="rId29"/>
      </mc:Fallback>
    </mc:AlternateContent>
    <mc:AlternateContent xmlns:mc="http://schemas.openxmlformats.org/markup-compatibility/2006">
      <mc:Choice Requires="x14">
        <oleObject progId="Equation.3" shapeId="7189" r:id="rId31">
          <objectPr defaultSize="0" autoPict="0" r:id="rId32">
            <anchor moveWithCells="1" sizeWithCells="1">
              <from>
                <xdr:col>0</xdr:col>
                <xdr:colOff>476250</xdr:colOff>
                <xdr:row>125</xdr:row>
                <xdr:rowOff>114300</xdr:rowOff>
              </from>
              <to>
                <xdr:col>2</xdr:col>
                <xdr:colOff>57150</xdr:colOff>
                <xdr:row>127</xdr:row>
                <xdr:rowOff>152400</xdr:rowOff>
              </to>
            </anchor>
          </objectPr>
        </oleObject>
      </mc:Choice>
      <mc:Fallback>
        <oleObject progId="Equation.3" shapeId="7189" r:id="rId31"/>
      </mc:Fallback>
    </mc:AlternateContent>
    <mc:AlternateContent xmlns:mc="http://schemas.openxmlformats.org/markup-compatibility/2006">
      <mc:Choice Requires="x14">
        <oleObject progId="Equation.3" shapeId="7190" r:id="rId33">
          <objectPr defaultSize="0" autoPict="0" r:id="rId34">
            <anchor moveWithCells="1" sizeWithCells="1">
              <from>
                <xdr:col>0</xdr:col>
                <xdr:colOff>409575</xdr:colOff>
                <xdr:row>129</xdr:row>
                <xdr:rowOff>95250</xdr:rowOff>
              </from>
              <to>
                <xdr:col>2</xdr:col>
                <xdr:colOff>152400</xdr:colOff>
                <xdr:row>131</xdr:row>
                <xdr:rowOff>133350</xdr:rowOff>
              </to>
            </anchor>
          </objectPr>
        </oleObject>
      </mc:Choice>
      <mc:Fallback>
        <oleObject progId="Equation.3" shapeId="7190" r:id="rId33"/>
      </mc:Fallback>
    </mc:AlternateContent>
    <mc:AlternateContent xmlns:mc="http://schemas.openxmlformats.org/markup-compatibility/2006">
      <mc:Choice Requires="x14">
        <oleObject progId="Equation.3" shapeId="7191" r:id="rId35">
          <objectPr defaultSize="0" autoPict="0" r:id="rId36">
            <anchor moveWithCells="1" sizeWithCells="1">
              <from>
                <xdr:col>0</xdr:col>
                <xdr:colOff>409575</xdr:colOff>
                <xdr:row>133</xdr:row>
                <xdr:rowOff>76200</xdr:rowOff>
              </from>
              <to>
                <xdr:col>1</xdr:col>
                <xdr:colOff>333375</xdr:colOff>
                <xdr:row>135</xdr:row>
                <xdr:rowOff>114300</xdr:rowOff>
              </to>
            </anchor>
          </objectPr>
        </oleObject>
      </mc:Choice>
      <mc:Fallback>
        <oleObject progId="Equation.3" shapeId="7191" r:id="rId35"/>
      </mc:Fallback>
    </mc:AlternateContent>
    <mc:AlternateContent xmlns:mc="http://schemas.openxmlformats.org/markup-compatibility/2006">
      <mc:Choice Requires="x14">
        <oleObject progId="Equation.3" shapeId="7192" r:id="rId37">
          <objectPr defaultSize="0" autoPict="0" r:id="rId38">
            <anchor moveWithCells="1" sizeWithCells="1">
              <from>
                <xdr:col>0</xdr:col>
                <xdr:colOff>190500</xdr:colOff>
                <xdr:row>139</xdr:row>
                <xdr:rowOff>114300</xdr:rowOff>
              </from>
              <to>
                <xdr:col>1</xdr:col>
                <xdr:colOff>371475</xdr:colOff>
                <xdr:row>141</xdr:row>
                <xdr:rowOff>142875</xdr:rowOff>
              </to>
            </anchor>
          </objectPr>
        </oleObject>
      </mc:Choice>
      <mc:Fallback>
        <oleObject progId="Equation.3" shapeId="7192" r:id="rId37"/>
      </mc:Fallback>
    </mc:AlternateContent>
    <mc:AlternateContent xmlns:mc="http://schemas.openxmlformats.org/markup-compatibility/2006">
      <mc:Choice Requires="x14">
        <oleObject progId="Equation.3" shapeId="7193" r:id="rId39">
          <objectPr defaultSize="0" autoPict="0" r:id="rId40">
            <anchor moveWithCells="1" sizeWithCells="1">
              <from>
                <xdr:col>3</xdr:col>
                <xdr:colOff>28575</xdr:colOff>
                <xdr:row>139</xdr:row>
                <xdr:rowOff>85725</xdr:rowOff>
              </from>
              <to>
                <xdr:col>4</xdr:col>
                <xdr:colOff>276225</xdr:colOff>
                <xdr:row>141</xdr:row>
                <xdr:rowOff>152400</xdr:rowOff>
              </to>
            </anchor>
          </objectPr>
        </oleObject>
      </mc:Choice>
      <mc:Fallback>
        <oleObject progId="Equation.3" shapeId="7193" r:id="rId39"/>
      </mc:Fallback>
    </mc:AlternateContent>
    <mc:AlternateContent xmlns:mc="http://schemas.openxmlformats.org/markup-compatibility/2006">
      <mc:Choice Requires="x14">
        <oleObject progId="Equation.3" shapeId="7194" r:id="rId41">
          <objectPr defaultSize="0" autoPict="0" r:id="rId42">
            <anchor moveWithCells="1" sizeWithCells="1">
              <from>
                <xdr:col>0</xdr:col>
                <xdr:colOff>209550</xdr:colOff>
                <xdr:row>145</xdr:row>
                <xdr:rowOff>0</xdr:rowOff>
              </from>
              <to>
                <xdr:col>1</xdr:col>
                <xdr:colOff>304800</xdr:colOff>
                <xdr:row>146</xdr:row>
                <xdr:rowOff>114300</xdr:rowOff>
              </to>
            </anchor>
          </objectPr>
        </oleObject>
      </mc:Choice>
      <mc:Fallback>
        <oleObject progId="Equation.3" shapeId="7194" r:id="rId41"/>
      </mc:Fallback>
    </mc:AlternateContent>
    <mc:AlternateContent xmlns:mc="http://schemas.openxmlformats.org/markup-compatibility/2006">
      <mc:Choice Requires="x14">
        <oleObject progId="Equation.3" shapeId="7195" r:id="rId43">
          <objectPr defaultSize="0" autoPict="0" r:id="rId44">
            <anchor moveWithCells="1" sizeWithCells="1">
              <from>
                <xdr:col>0</xdr:col>
                <xdr:colOff>114300</xdr:colOff>
                <xdr:row>146</xdr:row>
                <xdr:rowOff>85725</xdr:rowOff>
              </from>
              <to>
                <xdr:col>1</xdr:col>
                <xdr:colOff>295275</xdr:colOff>
                <xdr:row>148</xdr:row>
                <xdr:rowOff>152400</xdr:rowOff>
              </to>
            </anchor>
          </objectPr>
        </oleObject>
      </mc:Choice>
      <mc:Fallback>
        <oleObject progId="Equation.3" shapeId="7195" r:id="rId43"/>
      </mc:Fallback>
    </mc:AlternateContent>
    <mc:AlternateContent xmlns:mc="http://schemas.openxmlformats.org/markup-compatibility/2006">
      <mc:Choice Requires="x14">
        <oleObject progId="Equation.3" shapeId="7196" r:id="rId45">
          <objectPr defaultSize="0" autoPict="0" r:id="rId46">
            <anchor moveWithCells="1" sizeWithCells="1">
              <from>
                <xdr:col>0</xdr:col>
                <xdr:colOff>523875</xdr:colOff>
                <xdr:row>163</xdr:row>
                <xdr:rowOff>66675</xdr:rowOff>
              </from>
              <to>
                <xdr:col>2</xdr:col>
                <xdr:colOff>571500</xdr:colOff>
                <xdr:row>165</xdr:row>
                <xdr:rowOff>85725</xdr:rowOff>
              </to>
            </anchor>
          </objectPr>
        </oleObject>
      </mc:Choice>
      <mc:Fallback>
        <oleObject progId="Equation.3" shapeId="7196" r:id="rId4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№ Швеллера" prompt="Выберите № швеллера согласно ГОСТ 8240-97">
          <x14:formula1>
            <xm:f>'Геом. характеристики швеллера'!$A$6:$A$41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0"/>
  <sheetViews>
    <sheetView zoomScaleNormal="100" workbookViewId="0">
      <selection activeCell="H183" sqref="H183"/>
    </sheetView>
  </sheetViews>
  <sheetFormatPr defaultRowHeight="15.75" x14ac:dyDescent="0.25"/>
  <cols>
    <col min="1" max="1" width="8.140625" style="2" customWidth="1"/>
    <col min="2" max="2" width="6.42578125" style="2" customWidth="1"/>
    <col min="3" max="3" width="9" style="2" customWidth="1"/>
    <col min="4" max="4" width="8.28515625" style="2" customWidth="1"/>
    <col min="5" max="5" width="18.140625" style="2" customWidth="1"/>
    <col min="6" max="6" width="5" style="2" customWidth="1"/>
    <col min="7" max="7" width="32" style="2" customWidth="1"/>
    <col min="8" max="8" width="32.140625" style="2" customWidth="1"/>
    <col min="9" max="9" width="20.85546875" style="2" customWidth="1"/>
    <col min="10" max="10" width="20.7109375" style="2" customWidth="1"/>
    <col min="11" max="11" width="10" style="2" customWidth="1"/>
    <col min="12" max="16384" width="9.140625" style="2"/>
  </cols>
  <sheetData>
    <row r="1" spans="1:16" ht="32.25" customHeight="1" x14ac:dyDescent="0.25">
      <c r="A1" s="93" t="s">
        <v>7</v>
      </c>
      <c r="B1" s="93"/>
      <c r="C1" s="93"/>
      <c r="D1" s="93"/>
      <c r="E1" s="93"/>
      <c r="F1" s="93"/>
      <c r="G1" s="93"/>
      <c r="I1" s="88"/>
      <c r="J1" s="88"/>
      <c r="K1" s="88"/>
      <c r="L1" s="88"/>
      <c r="M1" s="88"/>
      <c r="N1" s="88"/>
      <c r="O1" s="88"/>
      <c r="P1" s="88"/>
    </row>
    <row r="2" spans="1:16" x14ac:dyDescent="0.25">
      <c r="I2" s="86"/>
      <c r="J2" s="87"/>
      <c r="K2" s="87"/>
      <c r="L2" s="87"/>
      <c r="M2" s="87"/>
      <c r="N2" s="87"/>
      <c r="O2" s="87"/>
      <c r="P2" s="87"/>
    </row>
    <row r="3" spans="1:16" x14ac:dyDescent="0.25">
      <c r="A3" s="2" t="s">
        <v>0</v>
      </c>
      <c r="I3" s="86"/>
      <c r="J3" s="11"/>
      <c r="K3" s="11"/>
      <c r="L3" s="11"/>
      <c r="M3" s="11"/>
      <c r="N3" s="11"/>
      <c r="O3" s="11"/>
      <c r="P3" s="11"/>
    </row>
    <row r="4" spans="1:16" ht="39" customHeight="1" x14ac:dyDescent="0.25">
      <c r="A4" s="3"/>
      <c r="B4" s="95" t="s">
        <v>5</v>
      </c>
      <c r="C4" s="95"/>
      <c r="D4" s="95"/>
      <c r="E4" s="95"/>
      <c r="F4" s="95"/>
      <c r="G4" s="7"/>
      <c r="I4" s="38"/>
      <c r="J4" s="11"/>
      <c r="K4" s="11"/>
      <c r="L4" s="11"/>
      <c r="M4" s="11"/>
      <c r="N4" s="11"/>
      <c r="O4" s="11"/>
      <c r="P4" s="11"/>
    </row>
    <row r="5" spans="1:16" ht="38.25" customHeight="1" x14ac:dyDescent="0.25">
      <c r="A5" s="3"/>
      <c r="B5" s="95" t="s">
        <v>4</v>
      </c>
      <c r="C5" s="95"/>
      <c r="D5" s="95"/>
      <c r="E5" s="95"/>
      <c r="F5" s="95"/>
      <c r="G5" s="8"/>
      <c r="I5" s="38"/>
      <c r="J5" s="11"/>
      <c r="K5" s="11"/>
      <c r="L5" s="11"/>
      <c r="M5" s="11"/>
      <c r="N5" s="11"/>
      <c r="O5" s="11"/>
      <c r="P5" s="11"/>
    </row>
    <row r="6" spans="1:16" ht="66.75" customHeight="1" x14ac:dyDescent="0.25">
      <c r="A6" s="3"/>
      <c r="B6" s="95" t="s">
        <v>10</v>
      </c>
      <c r="C6" s="95"/>
      <c r="D6" s="95"/>
      <c r="E6" s="95"/>
      <c r="F6" s="95"/>
      <c r="G6" s="8"/>
      <c r="I6" s="38"/>
      <c r="J6" s="11"/>
      <c r="K6" s="11"/>
      <c r="L6" s="11"/>
      <c r="M6" s="11"/>
      <c r="N6" s="11"/>
      <c r="O6" s="11"/>
      <c r="P6" s="11"/>
    </row>
    <row r="7" spans="1:16" ht="50.25" customHeight="1" x14ac:dyDescent="0.25">
      <c r="A7" s="3"/>
      <c r="B7" s="95" t="s">
        <v>239</v>
      </c>
      <c r="C7" s="95"/>
      <c r="D7" s="95"/>
      <c r="E7" s="95"/>
      <c r="F7" s="95"/>
      <c r="G7" s="8"/>
      <c r="I7" s="38"/>
      <c r="J7" s="11"/>
      <c r="K7" s="11"/>
      <c r="L7" s="11"/>
      <c r="M7" s="11"/>
      <c r="N7" s="11"/>
      <c r="O7" s="11"/>
      <c r="P7" s="11"/>
    </row>
    <row r="8" spans="1:16" ht="19.5" customHeight="1" x14ac:dyDescent="0.25">
      <c r="A8" s="3"/>
      <c r="B8" s="94"/>
      <c r="C8" s="94"/>
      <c r="D8" s="6"/>
      <c r="E8" s="6"/>
      <c r="F8" s="6"/>
      <c r="G8" s="9" t="s">
        <v>9</v>
      </c>
      <c r="I8" s="38"/>
      <c r="J8" s="11"/>
      <c r="K8" s="11"/>
      <c r="L8" s="11"/>
      <c r="M8" s="11"/>
      <c r="N8" s="11"/>
      <c r="O8" s="11"/>
      <c r="P8" s="11"/>
    </row>
    <row r="9" spans="1:16" x14ac:dyDescent="0.25">
      <c r="A9" s="2" t="s">
        <v>1</v>
      </c>
      <c r="I9" s="38"/>
      <c r="J9" s="11"/>
      <c r="K9" s="11"/>
      <c r="L9" s="11"/>
      <c r="M9" s="11"/>
      <c r="N9" s="11"/>
      <c r="O9" s="11"/>
      <c r="P9" s="11"/>
    </row>
    <row r="10" spans="1:16" x14ac:dyDescent="0.25">
      <c r="I10" s="38"/>
      <c r="J10" s="11"/>
      <c r="K10" s="11"/>
      <c r="L10" s="11"/>
      <c r="M10" s="11"/>
      <c r="N10" s="11"/>
      <c r="O10" s="11"/>
      <c r="P10" s="11"/>
    </row>
    <row r="11" spans="1:16" x14ac:dyDescent="0.25">
      <c r="A11" s="92" t="s">
        <v>2</v>
      </c>
      <c r="B11" s="92"/>
      <c r="C11" s="92"/>
      <c r="D11" s="92"/>
      <c r="E11" s="48" t="s">
        <v>3</v>
      </c>
      <c r="I11" s="38"/>
      <c r="J11" s="11"/>
      <c r="K11" s="11"/>
      <c r="L11" s="11"/>
      <c r="M11" s="11"/>
      <c r="N11" s="11"/>
      <c r="O11" s="11"/>
      <c r="P11" s="11"/>
    </row>
    <row r="12" spans="1:16" x14ac:dyDescent="0.25">
      <c r="A12" s="92" t="s">
        <v>6</v>
      </c>
      <c r="B12" s="92"/>
      <c r="C12" s="92"/>
      <c r="D12" s="92"/>
      <c r="E12" s="13">
        <v>6</v>
      </c>
      <c r="I12" s="38"/>
      <c r="J12" s="11"/>
      <c r="K12" s="11"/>
      <c r="L12" s="11"/>
      <c r="M12" s="11"/>
      <c r="N12" s="11"/>
      <c r="O12" s="11"/>
      <c r="P12" s="11"/>
    </row>
    <row r="13" spans="1:16" x14ac:dyDescent="0.25">
      <c r="A13" s="107" t="s">
        <v>70</v>
      </c>
      <c r="B13" s="108"/>
      <c r="C13" s="108"/>
      <c r="D13" s="109"/>
      <c r="E13" s="13">
        <v>1.5</v>
      </c>
      <c r="I13" s="38"/>
      <c r="J13" s="11"/>
      <c r="K13" s="11"/>
      <c r="L13" s="11"/>
      <c r="M13" s="11"/>
      <c r="N13" s="11"/>
      <c r="O13" s="11"/>
      <c r="P13" s="11"/>
    </row>
    <row r="14" spans="1:16" ht="33" customHeight="1" x14ac:dyDescent="0.25">
      <c r="A14" s="89" t="s">
        <v>295</v>
      </c>
      <c r="B14" s="90"/>
      <c r="C14" s="90"/>
      <c r="D14" s="91"/>
      <c r="E14" s="13">
        <v>320</v>
      </c>
      <c r="I14" s="38"/>
      <c r="J14" s="11"/>
      <c r="K14" s="11"/>
      <c r="L14" s="11"/>
      <c r="M14" s="11"/>
      <c r="N14" s="11"/>
      <c r="O14" s="11"/>
      <c r="P14" s="11"/>
    </row>
    <row r="15" spans="1:16" ht="18.75" x14ac:dyDescent="0.35">
      <c r="A15" s="92" t="s">
        <v>68</v>
      </c>
      <c r="B15" s="92"/>
      <c r="C15" s="92"/>
      <c r="D15" s="92"/>
      <c r="E15" s="13">
        <v>26</v>
      </c>
      <c r="I15" s="38"/>
      <c r="J15" s="11"/>
      <c r="K15" s="11"/>
      <c r="L15" s="11"/>
      <c r="M15" s="11"/>
      <c r="N15" s="11"/>
      <c r="O15" s="11"/>
      <c r="P15" s="11"/>
    </row>
    <row r="16" spans="1:16" ht="17.25" x14ac:dyDescent="0.3">
      <c r="A16" s="92" t="s">
        <v>11</v>
      </c>
      <c r="B16" s="92"/>
      <c r="C16" s="92"/>
      <c r="D16" s="92"/>
      <c r="E16" s="13">
        <v>6</v>
      </c>
      <c r="I16" s="38"/>
      <c r="J16" s="11"/>
      <c r="K16" s="11"/>
      <c r="L16" s="11"/>
      <c r="M16" s="11"/>
      <c r="N16" s="11"/>
      <c r="O16" s="11"/>
      <c r="P16" s="11"/>
    </row>
    <row r="17" spans="1:16" ht="29.25" customHeight="1" x14ac:dyDescent="0.25">
      <c r="A17" s="96" t="s">
        <v>23</v>
      </c>
      <c r="B17" s="96"/>
      <c r="C17" s="96"/>
      <c r="D17" s="96"/>
      <c r="E17" s="13">
        <v>240</v>
      </c>
      <c r="I17" s="38"/>
      <c r="J17" s="11"/>
      <c r="K17" s="11"/>
      <c r="L17" s="11"/>
      <c r="M17" s="11"/>
      <c r="N17" s="11"/>
      <c r="O17" s="11"/>
      <c r="P17" s="11"/>
    </row>
    <row r="18" spans="1:16" ht="30.75" customHeight="1" x14ac:dyDescent="0.25">
      <c r="A18" s="89" t="s">
        <v>281</v>
      </c>
      <c r="B18" s="90"/>
      <c r="C18" s="90"/>
      <c r="D18" s="91"/>
      <c r="E18" s="13">
        <f>0.58*E17</f>
        <v>139.19999999999999</v>
      </c>
      <c r="I18" s="80"/>
      <c r="J18" s="11"/>
      <c r="K18" s="11"/>
      <c r="L18" s="11"/>
      <c r="M18" s="11"/>
      <c r="N18" s="11"/>
      <c r="O18" s="11"/>
      <c r="P18" s="11"/>
    </row>
    <row r="19" spans="1:16" x14ac:dyDescent="0.25">
      <c r="A19" s="92" t="s">
        <v>20</v>
      </c>
      <c r="B19" s="92"/>
      <c r="C19" s="92"/>
      <c r="D19" s="92"/>
      <c r="E19" s="13">
        <v>0.9</v>
      </c>
      <c r="I19" s="38"/>
      <c r="J19" s="11"/>
      <c r="K19" s="11"/>
      <c r="L19" s="11"/>
      <c r="M19" s="11"/>
      <c r="N19" s="11"/>
      <c r="O19" s="11"/>
      <c r="P19" s="11"/>
    </row>
    <row r="20" spans="1:16" ht="21" customHeight="1" x14ac:dyDescent="0.25">
      <c r="A20" s="92" t="s">
        <v>17</v>
      </c>
      <c r="B20" s="92"/>
      <c r="C20" s="92"/>
      <c r="D20" s="92"/>
      <c r="E20" s="13" t="s">
        <v>207</v>
      </c>
      <c r="I20" s="38"/>
      <c r="J20" s="11"/>
      <c r="K20" s="11"/>
      <c r="L20" s="11"/>
      <c r="M20" s="11"/>
      <c r="N20" s="11"/>
      <c r="O20" s="11"/>
      <c r="P20" s="11"/>
    </row>
    <row r="21" spans="1:16" ht="18.75" x14ac:dyDescent="0.35">
      <c r="A21" s="92" t="s">
        <v>69</v>
      </c>
      <c r="B21" s="92"/>
      <c r="C21" s="92"/>
      <c r="D21" s="92"/>
      <c r="E21" s="13">
        <f>INDEX('Геом. характеристики швеллера'!I6:I41,MATCH('без учета бимомента,два тяжа'!E20,'Геом. характеристики швеллера'!A6:A41,0))</f>
        <v>16.3</v>
      </c>
      <c r="I21" s="38"/>
      <c r="J21" s="11"/>
      <c r="K21" s="11"/>
      <c r="L21" s="11"/>
      <c r="M21" s="11"/>
      <c r="N21" s="11"/>
      <c r="O21" s="11"/>
      <c r="P21" s="11"/>
    </row>
    <row r="22" spans="1:16" x14ac:dyDescent="0.25">
      <c r="A22" s="107" t="s">
        <v>44</v>
      </c>
      <c r="B22" s="108"/>
      <c r="C22" s="108"/>
      <c r="D22" s="109"/>
      <c r="E22" s="13">
        <f>INDEX('Геом. характеристики швеллера'!B6:B41,MATCH('без учета бимомента,два тяжа'!E20,'Геом. характеристики швеллера'!A6:A41,0))</f>
        <v>180</v>
      </c>
      <c r="I22" s="80"/>
      <c r="J22" s="11"/>
      <c r="K22" s="11"/>
      <c r="L22" s="11"/>
      <c r="M22" s="11"/>
      <c r="N22" s="11"/>
      <c r="O22" s="11"/>
      <c r="P22" s="11"/>
    </row>
    <row r="23" spans="1:16" x14ac:dyDescent="0.25">
      <c r="A23" s="107" t="s">
        <v>45</v>
      </c>
      <c r="B23" s="108"/>
      <c r="C23" s="108"/>
      <c r="D23" s="109"/>
      <c r="E23" s="13">
        <f>INDEX('Геом. характеристики швеллера'!C6:C41,MATCH('без учета бимомента,два тяжа'!E20,'Геом. характеристики швеллера'!A6:A41,0))</f>
        <v>70</v>
      </c>
      <c r="I23" s="80"/>
      <c r="J23" s="11"/>
      <c r="K23" s="11"/>
      <c r="L23" s="11"/>
      <c r="M23" s="11"/>
      <c r="N23" s="11"/>
      <c r="O23" s="11"/>
      <c r="P23" s="11"/>
    </row>
    <row r="24" spans="1:16" ht="18.75" x14ac:dyDescent="0.35">
      <c r="A24" s="107" t="s">
        <v>271</v>
      </c>
      <c r="B24" s="108"/>
      <c r="C24" s="108"/>
      <c r="D24" s="109"/>
      <c r="E24" s="13">
        <f>INDEX('Геом. характеристики швеллера'!D6:D41,MATCH('без учета бимомента,два тяжа'!E20,'Геом. характеристики швеллера'!A6:A41,0))</f>
        <v>5.0999999999999996</v>
      </c>
      <c r="I24" s="80"/>
      <c r="J24" s="11"/>
      <c r="K24" s="11"/>
      <c r="L24" s="11"/>
      <c r="M24" s="11"/>
      <c r="N24" s="11"/>
      <c r="O24" s="11"/>
      <c r="P24" s="11"/>
    </row>
    <row r="25" spans="1:16" x14ac:dyDescent="0.25">
      <c r="A25" s="107" t="s">
        <v>285</v>
      </c>
      <c r="B25" s="108"/>
      <c r="C25" s="108"/>
      <c r="D25" s="109"/>
      <c r="E25" s="13">
        <f>INDEX('Геом. характеристики швеллера'!E6:E41,MATCH('без учета бимомента,два тяжа'!E20,'Геом. характеристики швеллера'!A6:A41,0))</f>
        <v>8.6999999999999993</v>
      </c>
      <c r="I25" s="80"/>
      <c r="J25" s="11"/>
      <c r="K25" s="11"/>
      <c r="L25" s="11"/>
      <c r="M25" s="11"/>
      <c r="N25" s="11"/>
      <c r="O25" s="11"/>
      <c r="P25" s="11"/>
    </row>
    <row r="26" spans="1:16" ht="33.75" customHeight="1" x14ac:dyDescent="0.25">
      <c r="A26" s="89" t="s">
        <v>272</v>
      </c>
      <c r="B26" s="90"/>
      <c r="C26" s="90"/>
      <c r="D26" s="91"/>
      <c r="E26" s="13">
        <f>INDEX('Геом. характеристики швеллера'!M6:M41,MATCH('без учета бимомента,два тяжа'!E20,'Геом. характеристики швеллера'!A6:A41,0))</f>
        <v>70</v>
      </c>
      <c r="I26" s="80"/>
      <c r="J26" s="11"/>
      <c r="K26" s="11"/>
      <c r="L26" s="11"/>
      <c r="M26" s="11"/>
      <c r="N26" s="11"/>
      <c r="O26" s="11"/>
      <c r="P26" s="11"/>
    </row>
    <row r="27" spans="1:16" x14ac:dyDescent="0.25">
      <c r="A27" s="89" t="s">
        <v>270</v>
      </c>
      <c r="B27" s="90"/>
      <c r="C27" s="90"/>
      <c r="D27" s="91"/>
      <c r="E27" s="13">
        <f>INDEX('Геом. характеристики швеллера'!J6:J41,MATCH('без учета бимомента,два тяжа'!E20,'Геом. характеристики швеллера'!A6:A41,0))</f>
        <v>1090</v>
      </c>
      <c r="I27" s="80"/>
      <c r="J27" s="11"/>
      <c r="K27" s="11"/>
      <c r="L27" s="11"/>
      <c r="M27" s="11"/>
      <c r="N27" s="11"/>
      <c r="O27" s="11"/>
      <c r="P27" s="11"/>
    </row>
    <row r="28" spans="1:16" ht="34.5" customHeight="1" x14ac:dyDescent="0.25">
      <c r="A28" s="96" t="s">
        <v>16</v>
      </c>
      <c r="B28" s="96"/>
      <c r="C28" s="96"/>
      <c r="D28" s="96"/>
      <c r="E28" s="13">
        <f>INDEX('Геом. характеристики швеллера'!K6:K41,MATCH('без учета бимомента,два тяжа'!E20,'Геом. характеристики швеллера'!A6:A41,0))</f>
        <v>121</v>
      </c>
      <c r="I28" s="38"/>
      <c r="J28" s="11"/>
      <c r="K28" s="11"/>
      <c r="L28" s="11"/>
      <c r="M28" s="11"/>
      <c r="N28" s="11"/>
      <c r="O28" s="11"/>
      <c r="P28" s="11"/>
    </row>
    <row r="29" spans="1:16" ht="34.5" customHeight="1" x14ac:dyDescent="0.25">
      <c r="A29" s="96" t="s">
        <v>19</v>
      </c>
      <c r="B29" s="96"/>
      <c r="C29" s="96"/>
      <c r="D29" s="96"/>
      <c r="E29" s="13">
        <f>INDEX('Геом. характеристики швеллера'!O6:O41,MATCH('без учета бимомента,два тяжа'!E20,'Геом. характеристики швеллера'!A6:A41,0))</f>
        <v>20.6</v>
      </c>
      <c r="I29" s="38"/>
      <c r="J29" s="11"/>
      <c r="K29" s="11"/>
      <c r="L29" s="11"/>
      <c r="M29" s="11"/>
      <c r="N29" s="11"/>
      <c r="O29" s="11"/>
      <c r="P29" s="11"/>
    </row>
    <row r="30" spans="1:16" ht="22.5" customHeight="1" x14ac:dyDescent="0.25">
      <c r="I30" s="38"/>
      <c r="J30" s="11"/>
      <c r="K30" s="11"/>
      <c r="L30" s="11"/>
      <c r="M30" s="11"/>
      <c r="N30" s="11"/>
      <c r="O30" s="11"/>
      <c r="P30" s="11"/>
    </row>
    <row r="31" spans="1:16" x14ac:dyDescent="0.25">
      <c r="A31" s="2" t="s">
        <v>8</v>
      </c>
      <c r="I31" s="38"/>
      <c r="J31" s="11"/>
      <c r="K31" s="11"/>
      <c r="L31" s="11"/>
      <c r="M31" s="11"/>
      <c r="N31" s="11"/>
      <c r="O31" s="11"/>
      <c r="P31" s="11"/>
    </row>
    <row r="32" spans="1:16" x14ac:dyDescent="0.25">
      <c r="I32" s="38"/>
      <c r="J32" s="11"/>
      <c r="K32" s="11"/>
      <c r="L32" s="11"/>
      <c r="M32" s="11"/>
      <c r="N32" s="11"/>
      <c r="O32" s="11"/>
      <c r="P32" s="11"/>
    </row>
    <row r="33" spans="1:16" x14ac:dyDescent="0.25">
      <c r="A33" s="11" t="s">
        <v>34</v>
      </c>
      <c r="B33" s="11"/>
      <c r="I33" s="38"/>
      <c r="J33" s="11"/>
      <c r="K33" s="11"/>
      <c r="L33" s="11"/>
      <c r="M33" s="11"/>
      <c r="N33" s="11"/>
      <c r="O33" s="11"/>
      <c r="P33" s="11"/>
    </row>
    <row r="34" spans="1:16" x14ac:dyDescent="0.25">
      <c r="A34" s="11"/>
      <c r="B34" s="11"/>
      <c r="I34" s="38"/>
      <c r="J34" s="11"/>
      <c r="K34" s="11"/>
      <c r="L34" s="11"/>
      <c r="M34" s="11"/>
      <c r="N34" s="11"/>
      <c r="O34" s="11"/>
      <c r="P34" s="11"/>
    </row>
    <row r="35" spans="1:16" x14ac:dyDescent="0.25">
      <c r="A35" s="92" t="s">
        <v>39</v>
      </c>
      <c r="B35" s="92"/>
      <c r="C35" s="92"/>
      <c r="D35" s="92"/>
      <c r="E35" s="12" t="s">
        <v>3</v>
      </c>
      <c r="I35" s="38"/>
      <c r="J35" s="11"/>
      <c r="K35" s="11"/>
      <c r="L35" s="11"/>
      <c r="M35" s="11"/>
      <c r="N35" s="11"/>
      <c r="O35" s="11"/>
      <c r="P35" s="11"/>
    </row>
    <row r="36" spans="1:16" ht="18.75" x14ac:dyDescent="0.35">
      <c r="A36" s="92" t="s">
        <v>35</v>
      </c>
      <c r="B36" s="92"/>
      <c r="C36" s="92"/>
      <c r="D36" s="92"/>
      <c r="E36" s="14">
        <f>E14*E13</f>
        <v>480</v>
      </c>
      <c r="I36" s="38"/>
      <c r="J36" s="11"/>
      <c r="K36" s="11"/>
      <c r="L36" s="11"/>
      <c r="M36" s="11"/>
      <c r="N36" s="11"/>
      <c r="O36" s="11"/>
      <c r="P36" s="11"/>
    </row>
    <row r="37" spans="1:16" ht="18.75" x14ac:dyDescent="0.35">
      <c r="A37" s="92" t="s">
        <v>36</v>
      </c>
      <c r="B37" s="92"/>
      <c r="C37" s="92"/>
      <c r="D37" s="92"/>
      <c r="E37" s="14">
        <f>E15*E13</f>
        <v>39</v>
      </c>
      <c r="I37" s="38"/>
      <c r="J37" s="11"/>
      <c r="K37" s="11"/>
      <c r="L37" s="11"/>
      <c r="M37" s="11"/>
      <c r="N37" s="11"/>
      <c r="O37" s="11"/>
      <c r="P37" s="11"/>
    </row>
    <row r="38" spans="1:16" ht="18.75" x14ac:dyDescent="0.35">
      <c r="A38" s="92" t="s">
        <v>38</v>
      </c>
      <c r="B38" s="92"/>
      <c r="C38" s="92"/>
      <c r="D38" s="92"/>
      <c r="E38" s="37">
        <f>E21</f>
        <v>16.3</v>
      </c>
      <c r="I38" s="38"/>
      <c r="J38" s="11"/>
      <c r="K38" s="11"/>
      <c r="L38" s="11"/>
      <c r="M38" s="11"/>
      <c r="N38" s="11"/>
      <c r="O38" s="11"/>
      <c r="P38" s="11"/>
    </row>
    <row r="39" spans="1:16" x14ac:dyDescent="0.25">
      <c r="A39" s="92" t="s">
        <v>37</v>
      </c>
      <c r="B39" s="92"/>
      <c r="C39" s="92"/>
      <c r="D39" s="92"/>
      <c r="E39" s="14">
        <f>SUM(E36:E38)</f>
        <v>535.29999999999995</v>
      </c>
      <c r="I39" s="38"/>
      <c r="J39" s="11"/>
      <c r="K39" s="11"/>
      <c r="L39" s="11"/>
      <c r="M39" s="11"/>
      <c r="N39" s="11"/>
      <c r="O39" s="11"/>
      <c r="P39" s="11"/>
    </row>
    <row r="40" spans="1:16" x14ac:dyDescent="0.25">
      <c r="I40" s="38"/>
      <c r="J40" s="11"/>
      <c r="K40" s="11"/>
      <c r="L40" s="11"/>
      <c r="M40" s="11"/>
      <c r="N40" s="11"/>
      <c r="O40" s="11"/>
      <c r="P40" s="11"/>
    </row>
    <row r="41" spans="1:16" x14ac:dyDescent="0.25">
      <c r="A41" s="2" t="s">
        <v>267</v>
      </c>
      <c r="I41" s="80"/>
      <c r="J41" s="11"/>
      <c r="K41" s="11"/>
      <c r="L41" s="11"/>
      <c r="M41" s="11"/>
      <c r="N41" s="11"/>
      <c r="O41" s="11"/>
      <c r="P41" s="11"/>
    </row>
    <row r="42" spans="1:16" x14ac:dyDescent="0.25">
      <c r="I42" s="80"/>
      <c r="J42" s="11"/>
      <c r="K42" s="11"/>
      <c r="L42" s="11"/>
      <c r="M42" s="11"/>
      <c r="N42" s="11"/>
      <c r="O42" s="11"/>
      <c r="P42" s="11"/>
    </row>
    <row r="43" spans="1:16" x14ac:dyDescent="0.25">
      <c r="A43" s="2" t="s">
        <v>25</v>
      </c>
      <c r="I43" s="38"/>
      <c r="J43" s="11"/>
      <c r="K43" s="11"/>
      <c r="L43" s="11"/>
      <c r="M43" s="11"/>
      <c r="N43" s="11"/>
      <c r="O43" s="11"/>
      <c r="P43" s="11"/>
    </row>
    <row r="44" spans="1:16" ht="301.5" customHeight="1" x14ac:dyDescent="0.25">
      <c r="I44" s="38"/>
      <c r="J44" s="11"/>
      <c r="K44" s="11"/>
      <c r="L44" s="11"/>
      <c r="M44" s="11"/>
      <c r="N44" s="11"/>
      <c r="O44" s="11"/>
      <c r="P44" s="11"/>
    </row>
    <row r="45" spans="1:16" ht="108" customHeight="1" x14ac:dyDescent="0.25">
      <c r="I45" s="38"/>
      <c r="J45" s="11"/>
      <c r="K45" s="11"/>
      <c r="L45" s="11"/>
      <c r="M45" s="11"/>
      <c r="N45" s="11"/>
      <c r="O45" s="11"/>
      <c r="P45" s="11"/>
    </row>
    <row r="46" spans="1:16" ht="109.5" customHeight="1" x14ac:dyDescent="0.25">
      <c r="I46" s="38"/>
      <c r="J46" s="11"/>
      <c r="K46" s="11"/>
      <c r="L46" s="11"/>
      <c r="M46" s="11"/>
      <c r="N46" s="11"/>
      <c r="O46" s="11"/>
      <c r="P46" s="11"/>
    </row>
    <row r="47" spans="1:16" ht="34.5" customHeight="1" x14ac:dyDescent="0.3">
      <c r="A47" s="111" t="s">
        <v>237</v>
      </c>
      <c r="B47" s="111"/>
      <c r="C47" s="111"/>
      <c r="D47" s="111"/>
      <c r="E47" s="111"/>
      <c r="F47" s="111"/>
      <c r="G47" s="111"/>
      <c r="I47" s="38"/>
      <c r="J47" s="11"/>
      <c r="K47" s="11"/>
      <c r="L47" s="11"/>
      <c r="M47" s="11"/>
      <c r="N47" s="11"/>
      <c r="O47" s="11"/>
      <c r="P47" s="11"/>
    </row>
    <row r="48" spans="1:16" ht="16.5" x14ac:dyDescent="0.3">
      <c r="B48" s="4"/>
      <c r="I48" s="38"/>
      <c r="J48" s="11"/>
      <c r="K48" s="11"/>
      <c r="L48" s="11"/>
      <c r="M48" s="11"/>
      <c r="N48" s="11"/>
      <c r="O48" s="11"/>
      <c r="P48" s="11"/>
    </row>
    <row r="49" spans="3:19" x14ac:dyDescent="0.25">
      <c r="I49" s="38"/>
      <c r="J49" s="11"/>
      <c r="K49" s="11"/>
      <c r="L49" s="11"/>
      <c r="M49" s="11"/>
      <c r="N49" s="11"/>
      <c r="O49" s="11"/>
      <c r="P49" s="11"/>
    </row>
    <row r="50" spans="3:19" x14ac:dyDescent="0.25">
      <c r="I50" s="38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3:19" x14ac:dyDescent="0.25">
      <c r="I51" s="38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3:19" x14ac:dyDescent="0.25"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3:19" x14ac:dyDescent="0.25"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3:19" x14ac:dyDescent="0.25"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3:19" x14ac:dyDescent="0.25"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3:19" x14ac:dyDescent="0.25"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3:19" x14ac:dyDescent="0.25"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3:19" ht="16.5" x14ac:dyDescent="0.3">
      <c r="C58" s="4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3:19" x14ac:dyDescent="0.25"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3:19" x14ac:dyDescent="0.25"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3:19" x14ac:dyDescent="0.25"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3:19" x14ac:dyDescent="0.25"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3:19" x14ac:dyDescent="0.25"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3:19" x14ac:dyDescent="0.2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x14ac:dyDescent="0.2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49.5" customHeight="1" x14ac:dyDescent="0.3">
      <c r="A66" s="111" t="s">
        <v>240</v>
      </c>
      <c r="B66" s="111"/>
      <c r="C66" s="111"/>
      <c r="D66" s="111"/>
      <c r="E66" s="111"/>
      <c r="F66" s="111"/>
      <c r="G66" s="1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2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25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x14ac:dyDescent="0.25"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x14ac:dyDescent="0.25"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x14ac:dyDescent="0.25"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x14ac:dyDescent="0.25"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25"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25"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25"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x14ac:dyDescent="0.25"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x14ac:dyDescent="0.25"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x14ac:dyDescent="0.25"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x14ac:dyDescent="0.25"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x14ac:dyDescent="0.25"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x14ac:dyDescent="0.25"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x14ac:dyDescent="0.25"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x14ac:dyDescent="0.25"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32.25" customHeight="1" x14ac:dyDescent="0.25">
      <c r="A84" s="93" t="s">
        <v>13</v>
      </c>
      <c r="B84" s="93"/>
      <c r="C84" s="93"/>
      <c r="D84" s="93"/>
      <c r="E84" s="93"/>
      <c r="F84" s="93"/>
      <c r="G84" s="93"/>
      <c r="I84" s="11"/>
      <c r="J84" s="116"/>
      <c r="K84" s="116"/>
      <c r="L84" s="116"/>
      <c r="M84" s="116"/>
      <c r="N84" s="116"/>
      <c r="O84" s="116"/>
      <c r="P84" s="116"/>
      <c r="Q84" s="116"/>
      <c r="R84" s="11"/>
      <c r="S84" s="11"/>
    </row>
    <row r="85" spans="1:19" ht="15.75" customHeight="1" x14ac:dyDescent="0.25">
      <c r="I85" s="11"/>
      <c r="J85" s="116"/>
      <c r="K85" s="116"/>
      <c r="L85" s="116"/>
      <c r="M85" s="116"/>
      <c r="N85" s="116"/>
      <c r="O85" s="116"/>
      <c r="P85" s="116"/>
      <c r="Q85" s="116"/>
      <c r="R85" s="11"/>
      <c r="S85" s="11"/>
    </row>
    <row r="86" spans="1:19" x14ac:dyDescent="0.25">
      <c r="B86"/>
      <c r="C86" s="5"/>
      <c r="I86" s="11"/>
      <c r="J86" s="86"/>
      <c r="K86" s="87"/>
      <c r="L86" s="87"/>
      <c r="M86" s="87"/>
      <c r="N86" s="87"/>
      <c r="O86" s="87"/>
      <c r="P86" s="87"/>
      <c r="Q86" s="87"/>
      <c r="R86" s="11"/>
      <c r="S86" s="11"/>
    </row>
    <row r="87" spans="1:19" x14ac:dyDescent="0.25">
      <c r="I87" s="11"/>
      <c r="J87" s="86"/>
      <c r="K87" s="47"/>
      <c r="L87" s="47"/>
      <c r="M87" s="47"/>
      <c r="N87" s="47"/>
      <c r="O87" s="47"/>
      <c r="P87" s="47"/>
      <c r="Q87" s="47"/>
      <c r="R87" s="11"/>
      <c r="S87" s="11"/>
    </row>
    <row r="88" spans="1:19" x14ac:dyDescent="0.25">
      <c r="B88" s="49"/>
      <c r="C88" s="5">
        <f>E39*10*E12*(COS($E$16*PI()/180))/2/1000</f>
        <v>15.971027117719101</v>
      </c>
      <c r="D88" s="2" t="s">
        <v>14</v>
      </c>
      <c r="I88" s="11"/>
      <c r="J88" s="38"/>
      <c r="K88" s="58"/>
      <c r="L88" s="58"/>
      <c r="M88" s="58"/>
      <c r="N88" s="58"/>
      <c r="O88" s="58"/>
      <c r="P88" s="58"/>
      <c r="Q88" s="58"/>
      <c r="R88" s="11"/>
      <c r="S88" s="11"/>
    </row>
    <row r="89" spans="1:19" ht="31.5" customHeight="1" x14ac:dyDescent="0.25">
      <c r="I89" s="11"/>
      <c r="J89" s="38"/>
      <c r="K89" s="58"/>
      <c r="L89" s="58"/>
      <c r="M89" s="58"/>
      <c r="N89" s="58"/>
      <c r="O89" s="58"/>
      <c r="P89" s="58"/>
      <c r="Q89" s="58"/>
      <c r="R89" s="11"/>
      <c r="S89" s="11"/>
    </row>
    <row r="90" spans="1:19" ht="18.75" customHeight="1" x14ac:dyDescent="0.25">
      <c r="B90"/>
      <c r="E90" s="2" t="s">
        <v>245</v>
      </c>
      <c r="I90" s="11"/>
      <c r="J90" s="38"/>
      <c r="K90" s="58"/>
      <c r="L90" s="58"/>
      <c r="M90" s="58"/>
      <c r="N90" s="58"/>
      <c r="O90" s="58"/>
      <c r="P90" s="58"/>
      <c r="Q90" s="58"/>
      <c r="R90" s="11"/>
      <c r="S90" s="11"/>
    </row>
    <row r="91" spans="1:19" x14ac:dyDescent="0.25">
      <c r="B91"/>
      <c r="I91" s="11"/>
      <c r="J91" s="38"/>
      <c r="K91" s="58"/>
      <c r="L91" s="58"/>
      <c r="M91" s="58"/>
      <c r="N91" s="58"/>
      <c r="O91" s="58"/>
      <c r="P91" s="58"/>
      <c r="Q91" s="58"/>
      <c r="R91" s="11"/>
      <c r="S91" s="11"/>
    </row>
    <row r="92" spans="1:19" x14ac:dyDescent="0.25">
      <c r="C92" s="5">
        <f>2*E39*10*E12*(SIN($E$16*PI()/180))/15/1000</f>
        <v>0.44763269109739917</v>
      </c>
      <c r="D92" s="2" t="s">
        <v>14</v>
      </c>
      <c r="E92" s="2" t="s">
        <v>245</v>
      </c>
      <c r="I92" s="11"/>
      <c r="J92" s="38"/>
      <c r="K92" s="58"/>
      <c r="L92" s="58"/>
      <c r="M92" s="58"/>
      <c r="N92" s="58"/>
      <c r="O92" s="58"/>
      <c r="P92" s="58"/>
      <c r="Q92" s="58"/>
      <c r="R92" s="11"/>
      <c r="S92" s="11"/>
    </row>
    <row r="93" spans="1:19" x14ac:dyDescent="0.25">
      <c r="C93" s="5"/>
      <c r="I93" s="11"/>
      <c r="J93" s="38"/>
      <c r="K93" s="58"/>
      <c r="L93" s="58"/>
      <c r="M93" s="58"/>
      <c r="N93" s="58"/>
      <c r="O93" s="58"/>
      <c r="P93" s="58"/>
      <c r="Q93" s="58"/>
      <c r="R93" s="11"/>
      <c r="S93" s="11"/>
    </row>
    <row r="94" spans="1:19" x14ac:dyDescent="0.25">
      <c r="B94"/>
      <c r="C94" s="5"/>
      <c r="E94" s="2" t="s">
        <v>244</v>
      </c>
      <c r="I94" s="11"/>
      <c r="J94" s="38"/>
      <c r="K94" s="58"/>
      <c r="L94" s="58"/>
      <c r="M94" s="58"/>
      <c r="N94" s="58"/>
      <c r="O94" s="58"/>
      <c r="P94" s="58"/>
      <c r="Q94" s="58"/>
      <c r="R94" s="11"/>
      <c r="S94" s="11"/>
    </row>
    <row r="95" spans="1:19" x14ac:dyDescent="0.25">
      <c r="C95" s="5"/>
      <c r="I95" s="11"/>
      <c r="J95" s="38"/>
      <c r="K95" s="58"/>
      <c r="L95" s="58"/>
      <c r="M95" s="58"/>
      <c r="N95" s="58"/>
      <c r="O95" s="58"/>
      <c r="P95" s="58"/>
      <c r="Q95" s="58"/>
      <c r="R95" s="11"/>
      <c r="S95" s="11"/>
    </row>
    <row r="96" spans="1:19" x14ac:dyDescent="0.25">
      <c r="C96" s="5">
        <f>11*E39*10*E12*(SIN($E$16*PI()/180))/30/1000</f>
        <v>1.2309899005178477</v>
      </c>
      <c r="D96" s="2" t="s">
        <v>14</v>
      </c>
      <c r="E96" s="2" t="s">
        <v>244</v>
      </c>
      <c r="I96" s="11"/>
      <c r="J96" s="38"/>
      <c r="K96" s="58"/>
      <c r="L96" s="58"/>
      <c r="M96" s="58"/>
      <c r="N96" s="58"/>
      <c r="O96" s="58"/>
      <c r="P96" s="58"/>
      <c r="Q96" s="58"/>
      <c r="R96" s="11"/>
      <c r="S96" s="11"/>
    </row>
    <row r="97" spans="2:19" x14ac:dyDescent="0.25">
      <c r="B97"/>
      <c r="I97" s="11"/>
      <c r="J97" s="38"/>
      <c r="K97" s="58"/>
      <c r="L97" s="58"/>
      <c r="M97" s="58"/>
      <c r="N97" s="58"/>
      <c r="O97" s="58"/>
      <c r="P97" s="58"/>
      <c r="Q97" s="58"/>
      <c r="R97" s="11"/>
      <c r="S97" s="11"/>
    </row>
    <row r="98" spans="2:19" x14ac:dyDescent="0.25">
      <c r="B98"/>
      <c r="E98" s="110" t="s">
        <v>243</v>
      </c>
      <c r="F98" s="110"/>
      <c r="I98" s="11"/>
      <c r="J98" s="38"/>
      <c r="K98" s="58"/>
      <c r="L98" s="58"/>
      <c r="M98" s="58"/>
      <c r="N98" s="58"/>
      <c r="O98" s="58"/>
      <c r="P98" s="58"/>
      <c r="Q98" s="58"/>
      <c r="R98" s="11"/>
      <c r="S98" s="11"/>
    </row>
    <row r="99" spans="2:19" x14ac:dyDescent="0.25">
      <c r="I99" s="11"/>
      <c r="J99" s="38"/>
      <c r="K99" s="58"/>
      <c r="L99" s="58"/>
      <c r="M99" s="58"/>
      <c r="N99" s="58"/>
      <c r="O99" s="58"/>
      <c r="P99" s="58"/>
      <c r="Q99" s="58"/>
      <c r="R99" s="11"/>
      <c r="S99" s="11"/>
    </row>
    <row r="100" spans="2:19" x14ac:dyDescent="0.25">
      <c r="B100"/>
      <c r="C100" s="5">
        <f>E39*10*E12^2*(COS($E$16*PI()/180))/8/1000</f>
        <v>23.956540676578651</v>
      </c>
      <c r="D100" s="2" t="s">
        <v>15</v>
      </c>
      <c r="E100" s="113" t="s">
        <v>242</v>
      </c>
      <c r="F100" s="113"/>
      <c r="I100" s="11"/>
      <c r="J100" s="38"/>
      <c r="K100" s="58"/>
      <c r="L100" s="58"/>
      <c r="M100" s="58"/>
      <c r="N100" s="58"/>
      <c r="O100" s="58"/>
      <c r="P100" s="58"/>
      <c r="Q100" s="58"/>
      <c r="R100" s="11"/>
      <c r="S100" s="11"/>
    </row>
    <row r="101" spans="2:19" x14ac:dyDescent="0.25">
      <c r="I101" s="11"/>
      <c r="J101" s="38"/>
      <c r="K101" s="58"/>
      <c r="L101" s="58"/>
      <c r="M101" s="58"/>
      <c r="N101" s="58"/>
      <c r="O101" s="58"/>
      <c r="P101" s="58"/>
      <c r="Q101" s="58"/>
      <c r="R101" s="11"/>
      <c r="S101" s="11"/>
    </row>
    <row r="102" spans="2:19" x14ac:dyDescent="0.25">
      <c r="B102"/>
      <c r="E102" s="2" t="s">
        <v>244</v>
      </c>
      <c r="I102" s="11"/>
      <c r="J102" s="38"/>
      <c r="K102" s="58"/>
      <c r="L102" s="58"/>
      <c r="M102" s="58"/>
      <c r="N102" s="58"/>
      <c r="O102" s="58"/>
      <c r="P102" s="58"/>
      <c r="Q102" s="58"/>
      <c r="R102" s="11"/>
      <c r="S102" s="11"/>
    </row>
    <row r="103" spans="2:19" ht="12.75" customHeight="1" x14ac:dyDescent="0.25">
      <c r="I103" s="11"/>
      <c r="J103" s="38"/>
      <c r="K103" s="58"/>
      <c r="L103" s="58"/>
      <c r="M103" s="58"/>
      <c r="N103" s="58"/>
      <c r="O103" s="58"/>
      <c r="P103" s="58"/>
      <c r="Q103" s="58"/>
      <c r="R103" s="11"/>
      <c r="S103" s="11"/>
    </row>
    <row r="104" spans="2:19" x14ac:dyDescent="0.25">
      <c r="C104" s="5">
        <f>5*E39*10*E12^2*(COS($E$16*PI()/180))/48/1000</f>
        <v>19.963783897148879</v>
      </c>
      <c r="D104" s="2" t="s">
        <v>15</v>
      </c>
      <c r="E104" s="2" t="s">
        <v>244</v>
      </c>
      <c r="I104" s="11"/>
      <c r="J104" s="38"/>
      <c r="K104" s="58"/>
      <c r="L104" s="58"/>
      <c r="M104" s="58"/>
      <c r="N104" s="58"/>
      <c r="O104" s="58"/>
      <c r="P104" s="58"/>
      <c r="Q104" s="58"/>
      <c r="R104" s="11"/>
      <c r="S104" s="11"/>
    </row>
    <row r="105" spans="2:19" x14ac:dyDescent="0.25">
      <c r="I105" s="11"/>
      <c r="J105" s="38"/>
      <c r="K105" s="58"/>
      <c r="L105" s="58"/>
      <c r="M105" s="58"/>
      <c r="N105" s="58"/>
      <c r="O105" s="58"/>
      <c r="P105" s="58"/>
      <c r="Q105" s="58"/>
      <c r="R105" s="11"/>
      <c r="S105" s="11"/>
    </row>
    <row r="106" spans="2:19" x14ac:dyDescent="0.25">
      <c r="B106"/>
      <c r="C106"/>
      <c r="E106" s="113" t="s">
        <v>242</v>
      </c>
      <c r="F106" s="113"/>
      <c r="I106" s="11"/>
      <c r="J106" s="38"/>
      <c r="K106" s="58"/>
      <c r="L106" s="58"/>
      <c r="M106" s="58"/>
      <c r="N106" s="58"/>
      <c r="O106" s="58"/>
      <c r="P106" s="58"/>
      <c r="Q106" s="58"/>
      <c r="R106" s="11"/>
      <c r="S106" s="11"/>
    </row>
    <row r="107" spans="2:19" x14ac:dyDescent="0.25">
      <c r="I107" s="11"/>
      <c r="J107" s="38"/>
      <c r="K107" s="58"/>
      <c r="L107" s="58"/>
      <c r="M107" s="58"/>
      <c r="N107" s="58"/>
      <c r="O107" s="58"/>
      <c r="P107" s="58"/>
      <c r="Q107" s="58"/>
      <c r="R107" s="11"/>
      <c r="S107" s="11"/>
    </row>
    <row r="108" spans="2:19" ht="20.25" customHeight="1" x14ac:dyDescent="0.25">
      <c r="B108"/>
      <c r="C108" s="62">
        <f>E39*10*E12^2*(SIN($E$16*PI()/180))/360/1000</f>
        <v>5.5954086387174889E-2</v>
      </c>
      <c r="D108" s="63" t="s">
        <v>15</v>
      </c>
      <c r="E108" s="114" t="s">
        <v>242</v>
      </c>
      <c r="F108" s="114"/>
      <c r="I108" s="11"/>
      <c r="J108" s="38"/>
      <c r="K108" s="58"/>
      <c r="L108" s="58"/>
      <c r="M108" s="58"/>
      <c r="N108" s="58"/>
      <c r="O108" s="58"/>
      <c r="P108" s="58"/>
      <c r="Q108" s="58"/>
      <c r="R108" s="11"/>
      <c r="S108" s="11"/>
    </row>
    <row r="109" spans="2:19" x14ac:dyDescent="0.25">
      <c r="B109"/>
      <c r="C109" s="5"/>
      <c r="I109" s="11"/>
      <c r="J109" s="38"/>
      <c r="K109" s="58"/>
      <c r="L109" s="58"/>
      <c r="M109" s="58"/>
      <c r="N109" s="58"/>
      <c r="O109" s="58"/>
      <c r="P109" s="58"/>
      <c r="Q109" s="58"/>
      <c r="R109" s="11"/>
      <c r="S109" s="11"/>
    </row>
    <row r="110" spans="2:19" x14ac:dyDescent="0.25">
      <c r="B110"/>
      <c r="C110" s="5"/>
      <c r="E110" s="2" t="s">
        <v>244</v>
      </c>
      <c r="I110" s="11"/>
      <c r="J110" s="38"/>
      <c r="K110" s="58"/>
      <c r="L110" s="58"/>
      <c r="M110" s="58"/>
      <c r="N110" s="58"/>
      <c r="O110" s="58"/>
      <c r="P110" s="58"/>
      <c r="Q110" s="58"/>
      <c r="R110" s="11"/>
      <c r="S110" s="11"/>
    </row>
    <row r="111" spans="2:19" x14ac:dyDescent="0.25">
      <c r="B111"/>
      <c r="C111" s="5"/>
      <c r="I111" s="11"/>
      <c r="J111" s="38"/>
      <c r="K111" s="58"/>
      <c r="L111" s="58"/>
      <c r="M111" s="58"/>
      <c r="N111" s="58"/>
      <c r="O111" s="58"/>
      <c r="P111" s="58"/>
      <c r="Q111" s="58"/>
      <c r="R111" s="11"/>
      <c r="S111" s="11"/>
    </row>
    <row r="112" spans="2:19" ht="16.5" thickBot="1" x14ac:dyDescent="0.3">
      <c r="B112"/>
      <c r="C112" s="5">
        <f>E39*10*E12^2*(SIN($E$16*PI()/180))/90/1000</f>
        <v>0.22381634554869956</v>
      </c>
      <c r="D112" s="2" t="s">
        <v>15</v>
      </c>
      <c r="E112" s="2" t="s">
        <v>244</v>
      </c>
      <c r="I112" s="11"/>
      <c r="J112" s="38"/>
      <c r="K112" s="58"/>
      <c r="L112" s="58"/>
      <c r="M112" s="58"/>
      <c r="N112" s="58"/>
      <c r="O112" s="58"/>
      <c r="P112" s="58"/>
      <c r="Q112" s="58"/>
      <c r="R112" s="11"/>
      <c r="S112" s="11"/>
    </row>
    <row r="113" spans="1:19" x14ac:dyDescent="0.25">
      <c r="B113"/>
      <c r="C113" s="5"/>
      <c r="I113" s="11"/>
      <c r="J113" s="128" t="s">
        <v>250</v>
      </c>
      <c r="K113" s="129"/>
      <c r="L113" s="129"/>
      <c r="M113" s="129"/>
      <c r="N113" s="129"/>
      <c r="O113" s="129"/>
      <c r="P113" s="129"/>
      <c r="Q113" s="130"/>
      <c r="R113" s="11"/>
      <c r="S113" s="11"/>
    </row>
    <row r="114" spans="1:19" ht="15.75" customHeight="1" x14ac:dyDescent="0.25">
      <c r="A114" s="93" t="s">
        <v>22</v>
      </c>
      <c r="B114" s="93"/>
      <c r="C114" s="93"/>
      <c r="D114" s="93"/>
      <c r="E114" s="93"/>
      <c r="F114" s="93"/>
      <c r="G114" s="93"/>
      <c r="I114" s="11"/>
      <c r="J114" s="131"/>
      <c r="K114" s="132"/>
      <c r="L114" s="132"/>
      <c r="M114" s="132"/>
      <c r="N114" s="132"/>
      <c r="O114" s="132"/>
      <c r="P114" s="132"/>
      <c r="Q114" s="133"/>
      <c r="R114" s="11"/>
      <c r="S114" s="11"/>
    </row>
    <row r="115" spans="1:19" ht="16.5" thickBot="1" x14ac:dyDescent="0.3">
      <c r="A115" s="2" t="s">
        <v>241</v>
      </c>
      <c r="I115" s="11"/>
      <c r="J115" s="134"/>
      <c r="K115" s="135"/>
      <c r="L115" s="135"/>
      <c r="M115" s="135"/>
      <c r="N115" s="135"/>
      <c r="O115" s="135"/>
      <c r="P115" s="135"/>
      <c r="Q115" s="136"/>
      <c r="R115" s="11"/>
      <c r="S115" s="11"/>
    </row>
    <row r="116" spans="1:19" x14ac:dyDescent="0.25">
      <c r="B116"/>
      <c r="I116" s="11"/>
      <c r="J116" s="117" t="s">
        <v>233</v>
      </c>
      <c r="K116" s="118" t="s">
        <v>234</v>
      </c>
      <c r="L116" s="118"/>
      <c r="M116" s="118"/>
      <c r="N116" s="118"/>
      <c r="O116" s="118"/>
      <c r="P116" s="118"/>
      <c r="Q116" s="119"/>
      <c r="R116" s="11"/>
      <c r="S116" s="11"/>
    </row>
    <row r="117" spans="1:19" ht="16.5" thickBot="1" x14ac:dyDescent="0.3">
      <c r="I117" s="11"/>
      <c r="J117" s="98"/>
      <c r="K117" s="42">
        <v>0</v>
      </c>
      <c r="L117" s="42">
        <v>5</v>
      </c>
      <c r="M117" s="42">
        <v>10</v>
      </c>
      <c r="N117" s="42">
        <v>15</v>
      </c>
      <c r="O117" s="42">
        <v>20</v>
      </c>
      <c r="P117" s="42">
        <v>25</v>
      </c>
      <c r="Q117" s="43">
        <v>30</v>
      </c>
      <c r="R117" s="11">
        <v>45</v>
      </c>
      <c r="S117" s="11"/>
    </row>
    <row r="118" spans="1:19" ht="16.5" thickBot="1" x14ac:dyDescent="0.3">
      <c r="I118" s="11"/>
      <c r="J118" s="39" t="s">
        <v>72</v>
      </c>
      <c r="K118" s="53">
        <f>IF(((8*$E$17*$E$19/($E$12^2))/(COS(K$117*PI()/180)/(INDEX('Геом. характеристики швеллера'!$K$6:$K$41,MATCH('без учета бимомента,два тяжа'!$J118,'Геом. характеристики швеллера'!$A$6:$A$41,0)))+SIN(K$117*PI()/180)/(45*INDEX('Геом.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швеллера'!$A$6:$A$41,0)))&lt;((2*$E$17*$E$19/($E$12^2))/(5*COS(K$117*PI()/180)/(24*INDEX('Геом. характеристики швеллера'!$K$6:$K$41,MATCH('без учета бимомента,два тяжа'!$J118,'Геом. характеристики швеллера'!$A$6:$A$41,0)))+SIN(K$117*PI()/180)/(45*INDEX('Геом.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швеллера'!$A$6:$A$41,0))),((8*$E$17*$E$19/($E$12^2))/(COS(K$117*PI()/180)/(INDEX('Геом. характеристики швеллера'!$K$6:$K$41,MATCH('без учета бимомента,два тяжа'!$J118,'Геом. характеристики швеллера'!$A$6:$A$41,0)))+SIN(K$117*PI()/180)/(45*INDEX('Геом.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швеллера'!$A$6:$A$41,0))),((2*$E$17*$E$19/($E$12^2))/(5*COS(K$117*PI()/180)/(24*INDEX('Геом. характеристики швеллера'!$K$6:$K$41,MATCH('без учета бимомента,два тяжа'!$J118,'Геом. характеристики швеллера'!$A$6:$A$41,0)))+SIN(K$117*PI()/180)/(45*INDEX('Геом.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швеллера'!$A$6:$A$41,0))))</f>
        <v>38.840000000000003</v>
      </c>
      <c r="L118" s="53">
        <f>IF(((8*$E$17*$E$19/($E$12^2))/(COS(L$117*PI()/180)/(INDEX('Геом. характеристики швеллера'!$K$6:$K$41,MATCH('без учета бимомента,два тяжа'!$J118,'Геом. характеристики швеллера'!$A$6:$A$41,0)))+SIN(L$117*PI()/180)/(45*INDEX('Геом.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швеллера'!$A$6:$A$41,0)))&lt;((2*$E$17*$E$19/($E$12^2))/(5*COS(L$117*PI()/180)/(24*INDEX('Геом. характеристики швеллера'!$K$6:$K$41,MATCH('без учета бимомента,два тяжа'!$J118,'Геом. характеристики швеллера'!$A$6:$A$41,0)))+SIN(L$117*PI()/180)/(45*INDEX('Геом.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швеллера'!$A$6:$A$41,0))),((8*$E$17*$E$19/($E$12^2))/(COS(L$117*PI()/180)/(INDEX('Геом. характеристики швеллера'!$K$6:$K$41,MATCH('без учета бимомента,два тяжа'!$J118,'Геом. характеристики швеллера'!$A$6:$A$41,0)))+SIN(L$117*PI()/180)/(45*INDEX('Геом.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швеллера'!$A$6:$A$41,0))),((2*$E$17*$E$19/($E$12^2))/(5*COS(L$117*PI()/180)/(24*INDEX('Геом. характеристики швеллера'!$K$6:$K$41,MATCH('без учета бимомента,два тяжа'!$J118,'Геом. характеристики швеллера'!$A$6:$A$41,0)))+SIN(L$117*PI()/180)/(45*INDEX('Геом.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швеллера'!$A$6:$A$41,0))))</f>
        <v>38.726564583574401</v>
      </c>
      <c r="M118" s="53">
        <f>IF(((8*$E$17*$E$19/($E$12^2))/(COS(M$117*PI()/180)/(INDEX('Геом. характеристики швеллера'!$K$6:$K$41,MATCH('без учета бимомента,два тяжа'!$J118,'Геом. характеристики швеллера'!$A$6:$A$41,0)))+SIN(M$117*PI()/180)/(45*INDEX('Геом.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швеллера'!$A$6:$A$41,0)))&lt;((2*$E$17*$E$19/($E$12^2))/(5*COS(M$117*PI()/180)/(24*INDEX('Геом. характеристики швеллера'!$K$6:$K$41,MATCH('без учета бимомента,два тяжа'!$J118,'Геом. характеристики швеллера'!$A$6:$A$41,0)))+SIN(M$117*PI()/180)/(45*INDEX('Геом.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швеллера'!$A$6:$A$41,0))),((8*$E$17*$E$19/($E$12^2))/(COS(M$117*PI()/180)/(INDEX('Геом. характеристики швеллера'!$K$6:$K$41,MATCH('без учета бимомента,два тяжа'!$J118,'Геом. характеристики швеллера'!$A$6:$A$41,0)))+SIN(M$117*PI()/180)/(45*INDEX('Геом.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швеллера'!$A$6:$A$41,0))),((2*$E$17*$E$19/($E$12^2))/(5*COS(M$117*PI()/180)/(24*INDEX('Геом. характеристики швеллера'!$K$6:$K$41,MATCH('без учета бимомента,два тяжа'!$J118,'Геом. характеристики швеллера'!$A$6:$A$41,0)))+SIN(M$117*PI()/180)/(45*INDEX('Геом.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швеллера'!$A$6:$A$41,0))))</f>
        <v>38.946092250113082</v>
      </c>
      <c r="N118" s="53">
        <f>IF(((8*$E$17*$E$19/($E$12^2))/(COS(N$117*PI()/180)/(INDEX('Геом. характеристики швеллера'!$K$6:$K$41,MATCH('без учета бимомента,два тяжа'!$J118,'Геом. характеристики швеллера'!$A$6:$A$41,0)))+SIN(N$117*PI()/180)/(45*INDEX('Геом.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швеллера'!$A$6:$A$41,0)))&lt;((2*$E$17*$E$19/($E$12^2))/(5*COS(N$117*PI()/180)/(24*INDEX('Геом. характеристики швеллера'!$K$6:$K$41,MATCH('без учета бимомента,два тяжа'!$J118,'Геом. характеристики швеллера'!$A$6:$A$41,0)))+SIN(N$117*PI()/180)/(45*INDEX('Геом.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швеллера'!$A$6:$A$41,0))),((8*$E$17*$E$19/($E$12^2))/(COS(N$117*PI()/180)/(INDEX('Геом. характеристики швеллера'!$K$6:$K$41,MATCH('без учета бимомента,два тяжа'!$J118,'Геом. характеристики швеллера'!$A$6:$A$41,0)))+SIN(N$117*PI()/180)/(45*INDEX('Геом.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швеллера'!$A$6:$A$41,0))),((2*$E$17*$E$19/($E$12^2))/(5*COS(N$117*PI()/180)/(24*INDEX('Геом. характеристики швеллера'!$K$6:$K$41,MATCH('без учета бимомента,два тяжа'!$J118,'Геом. характеристики швеллера'!$A$6:$A$41,0)))+SIN(N$117*PI()/180)/(45*INDEX('Геом.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швеллера'!$A$6:$A$41,0))))</f>
        <v>39.507060669428284</v>
      </c>
      <c r="O118" s="53">
        <f>IF(((8*$E$17*$E$19/($E$12^2))/(COS(O$117*PI()/180)/(INDEX('Геом. характеристики швеллера'!$K$6:$K$41,MATCH('без учета бимомента,два тяжа'!$J118,'Геом. характеристики швеллера'!$A$6:$A$41,0)))+SIN(O$117*PI()/180)/(45*INDEX('Геом.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швеллера'!$A$6:$A$41,0)))&lt;((2*$E$17*$E$19/($E$12^2))/(5*COS(O$117*PI()/180)/(24*INDEX('Геом. характеристики швеллера'!$K$6:$K$41,MATCH('без учета бимомента,два тяжа'!$J118,'Геом. характеристики швеллера'!$A$6:$A$41,0)))+SIN(O$117*PI()/180)/(45*INDEX('Геом.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швеллера'!$A$6:$A$41,0))),((8*$E$17*$E$19/($E$12^2))/(COS(O$117*PI()/180)/(INDEX('Геом. характеристики швеллера'!$K$6:$K$41,MATCH('без учета бимомента,два тяжа'!$J118,'Геом. характеристики швеллера'!$A$6:$A$41,0)))+SIN(O$117*PI()/180)/(45*INDEX('Геом.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швеллера'!$A$6:$A$41,0))),((2*$E$17*$E$19/($E$12^2))/(5*COS(O$117*PI()/180)/(24*INDEX('Геом. характеристики швеллера'!$K$6:$K$41,MATCH('без учета бимомента,два тяжа'!$J118,'Геом. характеристики швеллера'!$A$6:$A$41,0)))+SIN(O$117*PI()/180)/(45*INDEX('Геом.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швеллера'!$A$6:$A$41,0))))</f>
        <v>40.431605085205845</v>
      </c>
      <c r="P118" s="53">
        <f>IF(((8*$E$17*$E$19/($E$12^2))/(COS(P$117*PI()/180)/(INDEX('Геом. характеристики швеллера'!$K$6:$K$41,MATCH('без учета бимомента,два тяжа'!$J118,'Геом. характеристики швеллера'!$A$6:$A$41,0)))+SIN(P$117*PI()/180)/(45*INDEX('Геом.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швеллера'!$A$6:$A$41,0)))&lt;((2*$E$17*$E$19/($E$12^2))/(5*COS(P$117*PI()/180)/(24*INDEX('Геом. характеристики швеллера'!$K$6:$K$41,MATCH('без учета бимомента,два тяжа'!$J118,'Геом. характеристики швеллера'!$A$6:$A$41,0)))+SIN(P$117*PI()/180)/(45*INDEX('Геом.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швеллера'!$A$6:$A$41,0))),((8*$E$17*$E$19/($E$12^2))/(COS(P$117*PI()/180)/(INDEX('Геом. характеристики швеллера'!$K$6:$K$41,MATCH('без учета бимомента,два тяжа'!$J118,'Геом. характеристики швеллера'!$A$6:$A$41,0)))+SIN(P$117*PI()/180)/(45*INDEX('Геом.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швеллера'!$A$6:$A$41,0))),((2*$E$17*$E$19/($E$12^2))/(5*COS(P$117*PI()/180)/(24*INDEX('Геом. характеристики швеллера'!$K$6:$K$41,MATCH('без учета бимомента,два тяжа'!$J118,'Геом. характеристики швеллера'!$A$6:$A$41,0)))+SIN(P$117*PI()/180)/(45*INDEX('Геом.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швеллера'!$A$6:$A$41,0))))</f>
        <v>41.757707519621576</v>
      </c>
      <c r="Q118" s="53">
        <f>IF(((8*$E$17*$E$19/($E$12^2))/(COS(Q$117*PI()/180)/(INDEX('Геом. характеристики швеллера'!$K$6:$K$41,MATCH('без учета бимомента,два тяжа'!$J118,'Геом. характеристики швеллера'!$A$6:$A$41,0)))+SIN(Q$117*PI()/180)/(45*INDEX('Геом.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швеллера'!$A$6:$A$41,0)))&lt;((2*$E$17*$E$19/($E$12^2))/(5*COS(Q$117*PI()/180)/(24*INDEX('Геом. характеристики швеллера'!$K$6:$K$41,MATCH('без учета бимомента,два тяжа'!$J118,'Геом. характеристики швеллера'!$A$6:$A$41,0)))+SIN(Q$117*PI()/180)/(45*INDEX('Геом.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швеллера'!$A$6:$A$41,0))),((8*$E$17*$E$19/($E$12^2))/(COS(Q$117*PI()/180)/(INDEX('Геом. характеристики швеллера'!$K$6:$K$41,MATCH('без учета бимомента,два тяжа'!$J118,'Геом. характеристики швеллера'!$A$6:$A$41,0)))+SIN(Q$117*PI()/180)/(45*INDEX('Геом.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швеллера'!$A$6:$A$41,0))),((2*$E$17*$E$19/($E$12^2))/(5*COS(Q$117*PI()/180)/(24*INDEX('Геом. характеристики швеллера'!$K$6:$K$41,MATCH('без учета бимомента,два тяжа'!$J118,'Геом. характеристики швеллера'!$A$6:$A$41,0)))+SIN(Q$117*PI()/180)/(45*INDEX('Геом. характеристики швеллера'!$O$6:$O$41,MATCH('без учета бимомента,два тяжа'!$J118,'Геом. характеристики швеллера'!$A$6:$A$41,0))))/10-INDEX('Геом. характеристики швеллера'!$I$6:$I$41,MATCH('без учета бимомента,два тяжа'!$J118,'Геом. характеристики швеллера'!$A$6:$A$41,0))))</f>
        <v>43.543179868067767</v>
      </c>
      <c r="R118" s="11"/>
      <c r="S118" s="11"/>
    </row>
    <row r="119" spans="1:19" ht="16.5" thickBot="1" x14ac:dyDescent="0.3">
      <c r="B119"/>
      <c r="D119" s="2">
        <f>C100*1000/(E28*E17*E19)+C108*1000/(E29*E17*E19)</f>
        <v>0.92918591324834166</v>
      </c>
      <c r="E119" s="115" t="str">
        <f>IF(D119&lt;1,"Условия прочности обеспечены","Условия прочности не обеспечены")</f>
        <v>Условия прочности обеспечены</v>
      </c>
      <c r="F119" s="115"/>
      <c r="G119" s="115"/>
      <c r="I119" s="11"/>
      <c r="J119" s="40" t="s">
        <v>73</v>
      </c>
      <c r="K119" s="53">
        <f>IF(((8*$E$17*$E$19/($E$12^2))/(COS(K$117*PI()/180)/(INDEX('Геом. характеристики швеллера'!$K$6:$K$41,MATCH('без учета бимомента,два тяжа'!$J119,'Геом. характеристики швеллера'!$A$6:$A$41,0)))+SIN(K$117*PI()/180)/(45*INDEX('Геом.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швеллера'!$A$6:$A$41,0)))&lt;((2*$E$17*$E$19/($E$12^2))/(5*COS(K$117*PI()/180)/(24*INDEX('Геом. характеристики швеллера'!$K$6:$K$41,MATCH('без учета бимомента,два тяжа'!$J119,'Геом. характеристики швеллера'!$A$6:$A$41,0)))+SIN(K$117*PI()/180)/(45*INDEX('Геом.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швеллера'!$A$6:$A$41,0))),((8*$E$17*$E$19/($E$12^2))/(COS(K$117*PI()/180)/(INDEX('Геом. характеристики швеллера'!$K$6:$K$41,MATCH('без учета бимомента,два тяжа'!$J119,'Геом. характеристики швеллера'!$A$6:$A$41,0)))+SIN(K$117*PI()/180)/(45*INDEX('Геом.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швеллера'!$A$6:$A$41,0))),((2*$E$17*$E$19/($E$12^2))/(5*COS(K$117*PI()/180)/(24*INDEX('Геом. характеристики швеллера'!$K$6:$K$41,MATCH('без учета бимомента,два тяжа'!$J119,'Геом. характеристики швеллера'!$A$6:$A$41,0)))+SIN(K$117*PI()/180)/(45*INDEX('Геом.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швеллера'!$A$6:$A$41,0))))</f>
        <v>66.099999999999994</v>
      </c>
      <c r="L119" s="53">
        <f>IF(((8*$E$17*$E$19/($E$12^2))/(COS(L$117*PI()/180)/(INDEX('Геом. характеристики швеллера'!$K$6:$K$41,MATCH('без учета бимомента,два тяжа'!$J119,'Геом. характеристики швеллера'!$A$6:$A$41,0)))+SIN(L$117*PI()/180)/(45*INDEX('Геом.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швеллера'!$A$6:$A$41,0)))&lt;((2*$E$17*$E$19/($E$12^2))/(5*COS(L$117*PI()/180)/(24*INDEX('Геом. характеристики швеллера'!$K$6:$K$41,MATCH('без учета бимомента,два тяжа'!$J119,'Геом. характеристики швеллера'!$A$6:$A$41,0)))+SIN(L$117*PI()/180)/(45*INDEX('Геом.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швеллера'!$A$6:$A$41,0))),((8*$E$17*$E$19/($E$12^2))/(COS(L$117*PI()/180)/(INDEX('Геом. характеристики швеллера'!$K$6:$K$41,MATCH('без учета бимомента,два тяжа'!$J119,'Геом. характеристики швеллера'!$A$6:$A$41,0)))+SIN(L$117*PI()/180)/(45*INDEX('Геом.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швеллера'!$A$6:$A$41,0))),((2*$E$17*$E$19/($E$12^2))/(5*COS(L$117*PI()/180)/(24*INDEX('Геом. характеристики швеллера'!$K$6:$K$41,MATCH('без учета бимомента,два тяжа'!$J119,'Геом. характеристики швеллера'!$A$6:$A$41,0)))+SIN(L$117*PI()/180)/(45*INDEX('Геом.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швеллера'!$A$6:$A$41,0))))</f>
        <v>65.806773791816497</v>
      </c>
      <c r="M119" s="53">
        <f>IF(((8*$E$17*$E$19/($E$12^2))/(COS(M$117*PI()/180)/(INDEX('Геом. характеристики швеллера'!$K$6:$K$41,MATCH('без учета бимомента,два тяжа'!$J119,'Геом. характеристики швеллера'!$A$6:$A$41,0)))+SIN(M$117*PI()/180)/(45*INDEX('Геом.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швеллера'!$A$6:$A$41,0)))&lt;((2*$E$17*$E$19/($E$12^2))/(5*COS(M$117*PI()/180)/(24*INDEX('Геом. характеристики швеллера'!$K$6:$K$41,MATCH('без учета бимомента,два тяжа'!$J119,'Геом. характеристики швеллера'!$A$6:$A$41,0)))+SIN(M$117*PI()/180)/(45*INDEX('Геом.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швеллера'!$A$6:$A$41,0))),((8*$E$17*$E$19/($E$12^2))/(COS(M$117*PI()/180)/(INDEX('Геом. характеристики швеллера'!$K$6:$K$41,MATCH('без учета бимомента,два тяжа'!$J119,'Геом. характеристики швеллера'!$A$6:$A$41,0)))+SIN(M$117*PI()/180)/(45*INDEX('Геом.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швеллера'!$A$6:$A$41,0))),((2*$E$17*$E$19/($E$12^2))/(5*COS(M$117*PI()/180)/(24*INDEX('Геом. характеристики швеллера'!$K$6:$K$41,MATCH('без учета бимомента,два тяжа'!$J119,'Геом. характеристики швеллера'!$A$6:$A$41,0)))+SIN(M$117*PI()/180)/(45*INDEX('Геом.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швеллера'!$A$6:$A$41,0))))</f>
        <v>66.061374400370667</v>
      </c>
      <c r="N119" s="53">
        <f>IF(((8*$E$17*$E$19/($E$12^2))/(COS(N$117*PI()/180)/(INDEX('Геом. характеристики швеллера'!$K$6:$K$41,MATCH('без учета бимомента,два тяжа'!$J119,'Геом. характеристики швеллера'!$A$6:$A$41,0)))+SIN(N$117*PI()/180)/(45*INDEX('Геом.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швеллера'!$A$6:$A$41,0)))&lt;((2*$E$17*$E$19/($E$12^2))/(5*COS(N$117*PI()/180)/(24*INDEX('Геом. характеристики швеллера'!$K$6:$K$41,MATCH('без учета бимомента,два тяжа'!$J119,'Геом. характеристики швеллера'!$A$6:$A$41,0)))+SIN(N$117*PI()/180)/(45*INDEX('Геом.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швеллера'!$A$6:$A$41,0))),((8*$E$17*$E$19/($E$12^2))/(COS(N$117*PI()/180)/(INDEX('Геом. характеристики швеллера'!$K$6:$K$41,MATCH('без учета бимомента,два тяжа'!$J119,'Геом. характеристики швеллера'!$A$6:$A$41,0)))+SIN(N$117*PI()/180)/(45*INDEX('Геом.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швеллера'!$A$6:$A$41,0))),((2*$E$17*$E$19/($E$12^2))/(5*COS(N$117*PI()/180)/(24*INDEX('Геом. характеристики швеллера'!$K$6:$K$41,MATCH('без учета бимомента,два тяжа'!$J119,'Геом. характеристики швеллера'!$A$6:$A$41,0)))+SIN(N$117*PI()/180)/(45*INDEX('Геом.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швеллера'!$A$6:$A$41,0))))</f>
        <v>66.873614055073858</v>
      </c>
      <c r="O119" s="53">
        <f>IF(((8*$E$17*$E$19/($E$12^2))/(COS(O$117*PI()/180)/(INDEX('Геом. характеристики швеллера'!$K$6:$K$41,MATCH('без учета бимомента,два тяжа'!$J119,'Геом. характеристики швеллера'!$A$6:$A$41,0)))+SIN(O$117*PI()/180)/(45*INDEX('Геом.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швеллера'!$A$6:$A$41,0)))&lt;((2*$E$17*$E$19/($E$12^2))/(5*COS(O$117*PI()/180)/(24*INDEX('Геом. характеристики швеллера'!$K$6:$K$41,MATCH('без учета бимомента,два тяжа'!$J119,'Геом. характеристики швеллера'!$A$6:$A$41,0)))+SIN(O$117*PI()/180)/(45*INDEX('Геом.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швеллера'!$A$6:$A$41,0))),((8*$E$17*$E$19/($E$12^2))/(COS(O$117*PI()/180)/(INDEX('Геом. характеристики швеллера'!$K$6:$K$41,MATCH('без учета бимомента,два тяжа'!$J119,'Геом. характеристики швеллера'!$A$6:$A$41,0)))+SIN(O$117*PI()/180)/(45*INDEX('Геом.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швеллера'!$A$6:$A$41,0))),((2*$E$17*$E$19/($E$12^2))/(5*COS(O$117*PI()/180)/(24*INDEX('Геом. характеристики швеллера'!$K$6:$K$41,MATCH('без учета бимомента,два тяжа'!$J119,'Геом. характеристики швеллера'!$A$6:$A$41,0)))+SIN(O$117*PI()/180)/(45*INDEX('Геом.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швеллера'!$A$6:$A$41,0))))</f>
        <v>68.275362650802535</v>
      </c>
      <c r="P119" s="53">
        <f>IF(((8*$E$17*$E$19/($E$12^2))/(COS(P$117*PI()/180)/(INDEX('Геом. характеристики швеллера'!$K$6:$K$41,MATCH('без учета бимомента,два тяжа'!$J119,'Геом. характеристики швеллера'!$A$6:$A$41,0)))+SIN(P$117*PI()/180)/(45*INDEX('Геом.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швеллера'!$A$6:$A$41,0)))&lt;((2*$E$17*$E$19/($E$12^2))/(5*COS(P$117*PI()/180)/(24*INDEX('Геом. характеристики швеллера'!$K$6:$K$41,MATCH('без учета бимомента,два тяжа'!$J119,'Геом. характеристики швеллера'!$A$6:$A$41,0)))+SIN(P$117*PI()/180)/(45*INDEX('Геом.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швеллера'!$A$6:$A$41,0))),((8*$E$17*$E$19/($E$12^2))/(COS(P$117*PI()/180)/(INDEX('Геом. характеристики швеллера'!$K$6:$K$41,MATCH('без учета бимомента,два тяжа'!$J119,'Геом. характеристики швеллера'!$A$6:$A$41,0)))+SIN(P$117*PI()/180)/(45*INDEX('Геом.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швеллера'!$A$6:$A$41,0))),((2*$E$17*$E$19/($E$12^2))/(5*COS(P$117*PI()/180)/(24*INDEX('Геом. характеристики швеллера'!$K$6:$K$41,MATCH('без учета бимомента,два тяжа'!$J119,'Геом. характеристики швеллера'!$A$6:$A$41,0)))+SIN(P$117*PI()/180)/(45*INDEX('Геом.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швеллера'!$A$6:$A$41,0))))</f>
        <v>70.323673682434645</v>
      </c>
      <c r="Q119" s="53">
        <f>IF(((8*$E$17*$E$19/($E$12^2))/(COS(Q$117*PI()/180)/(INDEX('Геом. характеристики швеллера'!$K$6:$K$41,MATCH('без учета бимомента,два тяжа'!$J119,'Геом. характеристики швеллера'!$A$6:$A$41,0)))+SIN(Q$117*PI()/180)/(45*INDEX('Геом.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швеллера'!$A$6:$A$41,0)))&lt;((2*$E$17*$E$19/($E$12^2))/(5*COS(Q$117*PI()/180)/(24*INDEX('Геом. характеристики швеллера'!$K$6:$K$41,MATCH('без учета бимомента,два тяжа'!$J119,'Геом. характеристики швеллера'!$A$6:$A$41,0)))+SIN(Q$117*PI()/180)/(45*INDEX('Геом.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швеллера'!$A$6:$A$41,0))),((8*$E$17*$E$19/($E$12^2))/(COS(Q$117*PI()/180)/(INDEX('Геом. характеристики швеллера'!$K$6:$K$41,MATCH('без учета бимомента,два тяжа'!$J119,'Геом. характеристики швеллера'!$A$6:$A$41,0)))+SIN(Q$117*PI()/180)/(45*INDEX('Геом.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швеллера'!$A$6:$A$41,0))),((2*$E$17*$E$19/($E$12^2))/(5*COS(Q$117*PI()/180)/(24*INDEX('Геом. характеристики швеллера'!$K$6:$K$41,MATCH('без учета бимомента,два тяжа'!$J119,'Геом. характеристики швеллера'!$A$6:$A$41,0)))+SIN(Q$117*PI()/180)/(45*INDEX('Геом. характеристики швеллера'!$O$6:$O$41,MATCH('без учета бимомента,два тяжа'!$J119,'Геом. характеристики швеллера'!$A$6:$A$41,0))))/10-INDEX('Геом. характеристики швеллера'!$I$6:$I$41,MATCH('без учета бимомента,два тяжа'!$J119,'Геом. характеристики швеллера'!$A$6:$A$41,0))))</f>
        <v>73.10668764211448</v>
      </c>
      <c r="R119" s="11"/>
      <c r="S119" s="11"/>
    </row>
    <row r="120" spans="1:19" ht="16.5" thickBot="1" x14ac:dyDescent="0.3">
      <c r="I120" s="11"/>
      <c r="J120" s="40" t="s">
        <v>74</v>
      </c>
      <c r="K120" s="53">
        <f>IF(((8*$E$17*$E$19/($E$12^2))/(COS(K$117*PI()/180)/(INDEX('Геом. характеристики швеллера'!$K$6:$K$41,MATCH('без учета бимомента,два тяжа'!$J120,'Геом. характеристики швеллера'!$A$6:$A$41,0)))+SIN(K$117*PI()/180)/(45*INDEX('Геом.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швеллера'!$A$6:$A$41,0)))&lt;((2*$E$17*$E$19/($E$12^2))/(5*COS(K$117*PI()/180)/(24*INDEX('Геом. характеристики швеллера'!$K$6:$K$41,MATCH('без учета бимомента,два тяжа'!$J120,'Геом. характеристики швеллера'!$A$6:$A$41,0)))+SIN(K$117*PI()/180)/(45*INDEX('Геом.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швеллера'!$A$6:$A$41,0))),((8*$E$17*$E$19/($E$12^2))/(COS(K$117*PI()/180)/(INDEX('Геом. характеристики швеллера'!$K$6:$K$41,MATCH('без учета бимомента,два тяжа'!$J120,'Геом. характеристики швеллера'!$A$6:$A$41,0)))+SIN(K$117*PI()/180)/(45*INDEX('Геом.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швеллера'!$A$6:$A$41,0))),((2*$E$17*$E$19/($E$12^2))/(5*COS(K$117*PI()/180)/(24*INDEX('Геом. характеристики швеллера'!$K$6:$K$41,MATCH('без учета бимомента,два тяжа'!$J120,'Геом. характеристики швеллера'!$A$6:$A$41,0)))+SIN(K$117*PI()/180)/(45*INDEX('Геом.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швеллера'!$A$6:$A$41,0))))</f>
        <v>100.47000000000001</v>
      </c>
      <c r="L120" s="53">
        <f>IF(((8*$E$17*$E$19/($E$12^2))/(COS(L$117*PI()/180)/(INDEX('Геом. характеристики швеллера'!$K$6:$K$41,MATCH('без учета бимомента,два тяжа'!$J120,'Геом. характеристики швеллера'!$A$6:$A$41,0)))+SIN(L$117*PI()/180)/(45*INDEX('Геом.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швеллера'!$A$6:$A$41,0)))&lt;((2*$E$17*$E$19/($E$12^2))/(5*COS(L$117*PI()/180)/(24*INDEX('Геом. характеристики швеллера'!$K$6:$K$41,MATCH('без учета бимомента,два тяжа'!$J120,'Геом. характеристики швеллера'!$A$6:$A$41,0)))+SIN(L$117*PI()/180)/(45*INDEX('Геом.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швеллера'!$A$6:$A$41,0))),((8*$E$17*$E$19/($E$12^2))/(COS(L$117*PI()/180)/(INDEX('Геом. характеристики швеллера'!$K$6:$K$41,MATCH('без учета бимомента,два тяжа'!$J120,'Геом. характеристики швеллера'!$A$6:$A$41,0)))+SIN(L$117*PI()/180)/(45*INDEX('Геом.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швеллера'!$A$6:$A$41,0))),((2*$E$17*$E$19/($E$12^2))/(5*COS(L$117*PI()/180)/(24*INDEX('Геом. характеристики швеллера'!$K$6:$K$41,MATCH('без учета бимомента,два тяжа'!$J120,'Геом. характеристики швеллера'!$A$6:$A$41,0)))+SIN(L$117*PI()/180)/(45*INDEX('Геом.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швеллера'!$A$6:$A$41,0))))</f>
        <v>99.900146923915216</v>
      </c>
      <c r="M120" s="53">
        <f>IF(((8*$E$17*$E$19/($E$12^2))/(COS(M$117*PI()/180)/(INDEX('Геом. характеристики швеллера'!$K$6:$K$41,MATCH('без учета бимомента,два тяжа'!$J120,'Геом. характеристики швеллера'!$A$6:$A$41,0)))+SIN(M$117*PI()/180)/(45*INDEX('Геом.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швеллера'!$A$6:$A$41,0)))&lt;((2*$E$17*$E$19/($E$12^2))/(5*COS(M$117*PI()/180)/(24*INDEX('Геом. характеристики швеллера'!$K$6:$K$41,MATCH('без учета бимомента,два тяжа'!$J120,'Геом. характеристики швеллера'!$A$6:$A$41,0)))+SIN(M$117*PI()/180)/(45*INDEX('Геом.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швеллера'!$A$6:$A$41,0))),((8*$E$17*$E$19/($E$12^2))/(COS(M$117*PI()/180)/(INDEX('Геом. характеристики швеллера'!$K$6:$K$41,MATCH('без учета бимомента,два тяжа'!$J120,'Геом. характеристики швеллера'!$A$6:$A$41,0)))+SIN(M$117*PI()/180)/(45*INDEX('Геом.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швеллера'!$A$6:$A$41,0))),((2*$E$17*$E$19/($E$12^2))/(5*COS(M$117*PI()/180)/(24*INDEX('Геом. характеристики швеллера'!$K$6:$K$41,MATCH('без учета бимомента,два тяжа'!$J120,'Геом. характеристики швеллера'!$A$6:$A$41,0)))+SIN(M$117*PI()/180)/(45*INDEX('Геом.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швеллера'!$A$6:$A$41,0))))</f>
        <v>100.14784158094805</v>
      </c>
      <c r="N120" s="53">
        <f>IF(((8*$E$17*$E$19/($E$12^2))/(COS(N$117*PI()/180)/(INDEX('Геом. характеристики швеллера'!$K$6:$K$41,MATCH('без учета бимомента,два тяжа'!$J120,'Геом. характеристики швеллера'!$A$6:$A$41,0)))+SIN(N$117*PI()/180)/(45*INDEX('Геом.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швеллера'!$A$6:$A$41,0)))&lt;((2*$E$17*$E$19/($E$12^2))/(5*COS(N$117*PI()/180)/(24*INDEX('Геом. характеристики швеллера'!$K$6:$K$41,MATCH('без учета бимомента,два тяжа'!$J120,'Геом. характеристики швеллера'!$A$6:$A$41,0)))+SIN(N$117*PI()/180)/(45*INDEX('Геом.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швеллера'!$A$6:$A$41,0))),((8*$E$17*$E$19/($E$12^2))/(COS(N$117*PI()/180)/(INDEX('Геом. характеристики швеллера'!$K$6:$K$41,MATCH('без учета бимомента,два тяжа'!$J120,'Геом. характеристики швеллера'!$A$6:$A$41,0)))+SIN(N$117*PI()/180)/(45*INDEX('Геом.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швеллера'!$A$6:$A$41,0))),((2*$E$17*$E$19/($E$12^2))/(5*COS(N$117*PI()/180)/(24*INDEX('Геом. характеристики швеллера'!$K$6:$K$41,MATCH('без учета бимомента,два тяжа'!$J120,'Геом. характеристики швеллера'!$A$6:$A$41,0)))+SIN(N$117*PI()/180)/(45*INDEX('Геом.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швеллера'!$A$6:$A$41,0))))</f>
        <v>101.22261906808288</v>
      </c>
      <c r="O120" s="53">
        <f>IF(((8*$E$17*$E$19/($E$12^2))/(COS(O$117*PI()/180)/(INDEX('Геом. характеристики швеллера'!$K$6:$K$41,MATCH('без учета бимомента,два тяжа'!$J120,'Геом. характеристики швеллера'!$A$6:$A$41,0)))+SIN(O$117*PI()/180)/(45*INDEX('Геом.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швеллера'!$A$6:$A$41,0)))&lt;((2*$E$17*$E$19/($E$12^2))/(5*COS(O$117*PI()/180)/(24*INDEX('Геом. характеристики швеллера'!$K$6:$K$41,MATCH('без учета бимомента,два тяжа'!$J120,'Геом. характеристики швеллера'!$A$6:$A$41,0)))+SIN(O$117*PI()/180)/(45*INDEX('Геом.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швеллера'!$A$6:$A$41,0))),((8*$E$17*$E$19/($E$12^2))/(COS(O$117*PI()/180)/(INDEX('Геом. характеристики швеллера'!$K$6:$K$41,MATCH('без учета бимомента,два тяжа'!$J120,'Геом. характеристики швеллера'!$A$6:$A$41,0)))+SIN(O$117*PI()/180)/(45*INDEX('Геом.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швеллера'!$A$6:$A$41,0))),((2*$E$17*$E$19/($E$12^2))/(5*COS(O$117*PI()/180)/(24*INDEX('Геом. характеристики швеллера'!$K$6:$K$41,MATCH('без учета бимомента,два тяжа'!$J120,'Геом. характеристики швеллера'!$A$6:$A$41,0)))+SIN(O$117*PI()/180)/(45*INDEX('Геом.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швеллера'!$A$6:$A$41,0))))</f>
        <v>103.1664756464255</v>
      </c>
      <c r="P120" s="53">
        <f>IF(((8*$E$17*$E$19/($E$12^2))/(COS(P$117*PI()/180)/(INDEX('Геом. характеристики швеллера'!$K$6:$K$41,MATCH('без учета бимомента,два тяжа'!$J120,'Геом. характеристики швеллера'!$A$6:$A$41,0)))+SIN(P$117*PI()/180)/(45*INDEX('Геом.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швеллера'!$A$6:$A$41,0)))&lt;((2*$E$17*$E$19/($E$12^2))/(5*COS(P$117*PI()/180)/(24*INDEX('Геом. характеристики швеллера'!$K$6:$K$41,MATCH('без учета бимомента,два тяжа'!$J120,'Геом. характеристики швеллера'!$A$6:$A$41,0)))+SIN(P$117*PI()/180)/(45*INDEX('Геом.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швеллера'!$A$6:$A$41,0))),((8*$E$17*$E$19/($E$12^2))/(COS(P$117*PI()/180)/(INDEX('Геом. характеристики швеллера'!$K$6:$K$41,MATCH('без учета бимомента,два тяжа'!$J120,'Геом. характеристики швеллера'!$A$6:$A$41,0)))+SIN(P$117*PI()/180)/(45*INDEX('Геом.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швеллера'!$A$6:$A$41,0))),((2*$E$17*$E$19/($E$12^2))/(5*COS(P$117*PI()/180)/(24*INDEX('Геом. характеристики швеллера'!$K$6:$K$41,MATCH('без учета бимомента,два тяжа'!$J120,'Геом. характеристики швеллера'!$A$6:$A$41,0)))+SIN(P$117*PI()/180)/(45*INDEX('Геом.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швеллера'!$A$6:$A$41,0))))</f>
        <v>106.05796275102428</v>
      </c>
      <c r="Q120" s="53">
        <f>IF(((8*$E$17*$E$19/($E$12^2))/(COS(Q$117*PI()/180)/(INDEX('Геом. характеристики швеллера'!$K$6:$K$41,MATCH('без учета бимомента,два тяжа'!$J120,'Геом. характеристики швеллера'!$A$6:$A$41,0)))+SIN(Q$117*PI()/180)/(45*INDEX('Геом.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швеллера'!$A$6:$A$41,0)))&lt;((2*$E$17*$E$19/($E$12^2))/(5*COS(Q$117*PI()/180)/(24*INDEX('Геом. характеристики швеллера'!$K$6:$K$41,MATCH('без учета бимомента,два тяжа'!$J120,'Геом. характеристики швеллера'!$A$6:$A$41,0)))+SIN(Q$117*PI()/180)/(45*INDEX('Геом.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швеллера'!$A$6:$A$41,0))),((8*$E$17*$E$19/($E$12^2))/(COS(Q$117*PI()/180)/(INDEX('Геом. характеристики швеллера'!$K$6:$K$41,MATCH('без учета бимомента,два тяжа'!$J120,'Геом. характеристики швеллера'!$A$6:$A$41,0)))+SIN(Q$117*PI()/180)/(45*INDEX('Геом.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швеллера'!$A$6:$A$41,0))),((2*$E$17*$E$19/($E$12^2))/(5*COS(Q$117*PI()/180)/(24*INDEX('Геом. характеристики швеллера'!$K$6:$K$41,MATCH('без учета бимомента,два тяжа'!$J120,'Геом. характеристики швеллера'!$A$6:$A$41,0)))+SIN(Q$117*PI()/180)/(45*INDEX('Геом. характеристики швеллера'!$O$6:$O$41,MATCH('без учета бимомента,два тяжа'!$J120,'Геом. характеристики швеллера'!$A$6:$A$41,0))))/10-INDEX('Геом. характеристики швеллера'!$I$6:$I$41,MATCH('без учета бимомента,два тяжа'!$J120,'Геом. характеристики швеллера'!$A$6:$A$41,0))))</f>
        <v>108.40418726683264</v>
      </c>
      <c r="R120" s="11"/>
      <c r="S120" s="11"/>
    </row>
    <row r="121" spans="1:19" ht="16.5" thickBot="1" x14ac:dyDescent="0.3">
      <c r="A121" s="2" t="s">
        <v>249</v>
      </c>
      <c r="B121"/>
      <c r="I121" s="11"/>
      <c r="J121" s="40" t="s">
        <v>75</v>
      </c>
      <c r="K121" s="53">
        <f>IF(((8*$E$17*$E$19/($E$12^2))/(COS(K$117*PI()/180)/(INDEX('Геом. характеристики швеллера'!$K$6:$K$41,MATCH('без учета бимомента,два тяжа'!$J121,'Геом. характеристики швеллера'!$A$6:$A$41,0)))+SIN(K$117*PI()/180)/(45*INDEX('Геом.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швеллера'!$A$6:$A$41,0)))&lt;((2*$E$17*$E$19/($E$12^2))/(5*COS(K$117*PI()/180)/(24*INDEX('Геом. характеристики швеллера'!$K$6:$K$41,MATCH('без учета бимомента,два тяжа'!$J121,'Геом. характеристики швеллера'!$A$6:$A$41,0)))+SIN(K$117*PI()/180)/(45*INDEX('Геом.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швеллера'!$A$6:$A$41,0))),((8*$E$17*$E$19/($E$12^2))/(COS(K$117*PI()/180)/(INDEX('Геом. характеристики швеллера'!$K$6:$K$41,MATCH('без учета бимомента,два тяжа'!$J121,'Геом. характеристики швеллера'!$A$6:$A$41,0)))+SIN(K$117*PI()/180)/(45*INDEX('Геом.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швеллера'!$A$6:$A$41,0))),((2*$E$17*$E$19/($E$12^2))/(5*COS(K$117*PI()/180)/(24*INDEX('Геом. характеристики швеллера'!$K$6:$K$41,MATCH('без учета бимомента,два тяжа'!$J121,'Геом. характеристики швеллера'!$A$6:$A$41,0)))+SIN(K$117*PI()/180)/(45*INDEX('Геом.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швеллера'!$A$6:$A$41,0))))</f>
        <v>161.44999999999999</v>
      </c>
      <c r="L121" s="53">
        <f>IF(((8*$E$17*$E$19/($E$12^2))/(COS(L$117*PI()/180)/(INDEX('Геом. характеристики швеллера'!$K$6:$K$41,MATCH('без учета бимомента,два тяжа'!$J121,'Геом. характеристики швеллера'!$A$6:$A$41,0)))+SIN(L$117*PI()/180)/(45*INDEX('Геом.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швеллера'!$A$6:$A$41,0)))&lt;((2*$E$17*$E$19/($E$12^2))/(5*COS(L$117*PI()/180)/(24*INDEX('Геом. характеристики швеллера'!$K$6:$K$41,MATCH('без учета бимомента,два тяжа'!$J121,'Геом. характеристики швеллера'!$A$6:$A$41,0)))+SIN(L$117*PI()/180)/(45*INDEX('Геом.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швеллера'!$A$6:$A$41,0))),((8*$E$17*$E$19/($E$12^2))/(COS(L$117*PI()/180)/(INDEX('Геом. характеристики швеллера'!$K$6:$K$41,MATCH('без учета бимомента,два тяжа'!$J121,'Геом. характеристики швеллера'!$A$6:$A$41,0)))+SIN(L$117*PI()/180)/(45*INDEX('Геом.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швеллера'!$A$6:$A$41,0))),((2*$E$17*$E$19/($E$12^2))/(5*COS(L$117*PI()/180)/(24*INDEX('Геом. характеристики швеллера'!$K$6:$K$41,MATCH('без учета бимомента,два тяжа'!$J121,'Геом. характеристики швеллера'!$A$6:$A$41,0)))+SIN(L$117*PI()/180)/(45*INDEX('Геом.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швеллера'!$A$6:$A$41,0))))</f>
        <v>160.35011524697418</v>
      </c>
      <c r="M121" s="53">
        <f>IF(((8*$E$17*$E$19/($E$12^2))/(COS(M$117*PI()/180)/(INDEX('Геом. характеристики швеллера'!$K$6:$K$41,MATCH('без учета бимомента,два тяжа'!$J121,'Геом. характеристики швеллера'!$A$6:$A$41,0)))+SIN(M$117*PI()/180)/(45*INDEX('Геом.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швеллера'!$A$6:$A$41,0)))&lt;((2*$E$17*$E$19/($E$12^2))/(5*COS(M$117*PI()/180)/(24*INDEX('Геом. характеристики швеллера'!$K$6:$K$41,MATCH('без учета бимомента,два тяжа'!$J121,'Геом. характеристики швеллера'!$A$6:$A$41,0)))+SIN(M$117*PI()/180)/(45*INDEX('Геом.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швеллера'!$A$6:$A$41,0))),((8*$E$17*$E$19/($E$12^2))/(COS(M$117*PI()/180)/(INDEX('Геом. характеристики швеллера'!$K$6:$K$41,MATCH('без учета бимомента,два тяжа'!$J121,'Геом. характеристики швеллера'!$A$6:$A$41,0)))+SIN(M$117*PI()/180)/(45*INDEX('Геом.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швеллера'!$A$6:$A$41,0))),((2*$E$17*$E$19/($E$12^2))/(5*COS(M$117*PI()/180)/(24*INDEX('Геом. характеристики швеллера'!$K$6:$K$41,MATCH('без учета бимомента,два тяжа'!$J121,'Геом. характеристики швеллера'!$A$6:$A$41,0)))+SIN(M$117*PI()/180)/(45*INDEX('Геом.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швеллера'!$A$6:$A$41,0))))</f>
        <v>160.5205521003567</v>
      </c>
      <c r="N121" s="53">
        <f>IF(((8*$E$17*$E$19/($E$12^2))/(COS(N$117*PI()/180)/(INDEX('Геом. характеристики швеллера'!$K$6:$K$41,MATCH('без учета бимомента,два тяжа'!$J121,'Геом. характеристики швеллера'!$A$6:$A$41,0)))+SIN(N$117*PI()/180)/(45*INDEX('Геом.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швеллера'!$A$6:$A$41,0)))&lt;((2*$E$17*$E$19/($E$12^2))/(5*COS(N$117*PI()/180)/(24*INDEX('Геом. характеристики швеллера'!$K$6:$K$41,MATCH('без учета бимомента,два тяжа'!$J121,'Геом. характеристики швеллера'!$A$6:$A$41,0)))+SIN(N$117*PI()/180)/(45*INDEX('Геом.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швеллера'!$A$6:$A$41,0))),((8*$E$17*$E$19/($E$12^2))/(COS(N$117*PI()/180)/(INDEX('Геом. характеристики швеллера'!$K$6:$K$41,MATCH('без учета бимомента,два тяжа'!$J121,'Геом. характеристики швеллера'!$A$6:$A$41,0)))+SIN(N$117*PI()/180)/(45*INDEX('Геом.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швеллера'!$A$6:$A$41,0))),((2*$E$17*$E$19/($E$12^2))/(5*COS(N$117*PI()/180)/(24*INDEX('Геом. характеристики швеллера'!$K$6:$K$41,MATCH('без учета бимомента,два тяжа'!$J121,'Геом. характеристики швеллера'!$A$6:$A$41,0)))+SIN(N$117*PI()/180)/(45*INDEX('Геом.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швеллера'!$A$6:$A$41,0))))</f>
        <v>161.96786708706315</v>
      </c>
      <c r="O121" s="53">
        <f>IF(((8*$E$17*$E$19/($E$12^2))/(COS(O$117*PI()/180)/(INDEX('Геом. характеристики швеллера'!$K$6:$K$41,MATCH('без учета бимомента,два тяжа'!$J121,'Геом. характеристики швеллера'!$A$6:$A$41,0)))+SIN(O$117*PI()/180)/(45*INDEX('Геом.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швеллера'!$A$6:$A$41,0)))&lt;((2*$E$17*$E$19/($E$12^2))/(5*COS(O$117*PI()/180)/(24*INDEX('Геом. характеристики швеллера'!$K$6:$K$41,MATCH('без учета бимомента,два тяжа'!$J121,'Геом. характеристики швеллера'!$A$6:$A$41,0)))+SIN(O$117*PI()/180)/(45*INDEX('Геом.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швеллера'!$A$6:$A$41,0))),((8*$E$17*$E$19/($E$12^2))/(COS(O$117*PI()/180)/(INDEX('Геом. характеристики швеллера'!$K$6:$K$41,MATCH('без учета бимомента,два тяжа'!$J121,'Геом. характеристики швеллера'!$A$6:$A$41,0)))+SIN(O$117*PI()/180)/(45*INDEX('Геом.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швеллера'!$A$6:$A$41,0))),((2*$E$17*$E$19/($E$12^2))/(5*COS(O$117*PI()/180)/(24*INDEX('Геом. характеристики швеллера'!$K$6:$K$41,MATCH('без учета бимомента,два тяжа'!$J121,'Геом. характеристики швеллера'!$A$6:$A$41,0)))+SIN(O$117*PI()/180)/(45*INDEX('Геом.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швеллера'!$A$6:$A$41,0))))</f>
        <v>164.74839718452833</v>
      </c>
      <c r="P121" s="53">
        <f>IF(((8*$E$17*$E$19/($E$12^2))/(COS(P$117*PI()/180)/(INDEX('Геом. характеристики швеллера'!$K$6:$K$41,MATCH('без учета бимомента,два тяжа'!$J121,'Геом. характеристики швеллера'!$A$6:$A$41,0)))+SIN(P$117*PI()/180)/(45*INDEX('Геом.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швеллера'!$A$6:$A$41,0)))&lt;((2*$E$17*$E$19/($E$12^2))/(5*COS(P$117*PI()/180)/(24*INDEX('Геом. характеристики швеллера'!$K$6:$K$41,MATCH('без учета бимомента,два тяжа'!$J121,'Геом. характеристики швеллера'!$A$6:$A$41,0)))+SIN(P$117*PI()/180)/(45*INDEX('Геом.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швеллера'!$A$6:$A$41,0))),((8*$E$17*$E$19/($E$12^2))/(COS(P$117*PI()/180)/(INDEX('Геом. характеристики швеллера'!$K$6:$K$41,MATCH('без учета бимомента,два тяжа'!$J121,'Геом. характеристики швеллера'!$A$6:$A$41,0)))+SIN(P$117*PI()/180)/(45*INDEX('Геом.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швеллера'!$A$6:$A$41,0))),((2*$E$17*$E$19/($E$12^2))/(5*COS(P$117*PI()/180)/(24*INDEX('Геом. характеристики швеллера'!$K$6:$K$41,MATCH('без учета бимомента,два тяжа'!$J121,'Геом. характеристики швеллера'!$A$6:$A$41,0)))+SIN(P$117*PI()/180)/(45*INDEX('Геом.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швеллера'!$A$6:$A$41,0))))</f>
        <v>168.84157648995233</v>
      </c>
      <c r="Q121" s="53">
        <f>IF(((8*$E$17*$E$19/($E$12^2))/(COS(Q$117*PI()/180)/(INDEX('Геом. характеристики швеллера'!$K$6:$K$41,MATCH('без учета бимомента,два тяжа'!$J121,'Геом. характеристики швеллера'!$A$6:$A$41,0)))+SIN(Q$117*PI()/180)/(45*INDEX('Геом.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швеллера'!$A$6:$A$41,0)))&lt;((2*$E$17*$E$19/($E$12^2))/(5*COS(Q$117*PI()/180)/(24*INDEX('Геом. характеристики швеллера'!$K$6:$K$41,MATCH('без учета бимомента,два тяжа'!$J121,'Геом. характеристики швеллера'!$A$6:$A$41,0)))+SIN(Q$117*PI()/180)/(45*INDEX('Геом.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швеллера'!$A$6:$A$41,0))),((8*$E$17*$E$19/($E$12^2))/(COS(Q$117*PI()/180)/(INDEX('Геом. характеристики швеллера'!$K$6:$K$41,MATCH('без учета бимомента,два тяжа'!$J121,'Геом. характеристики швеллера'!$A$6:$A$41,0)))+SIN(Q$117*PI()/180)/(45*INDEX('Геом.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швеллера'!$A$6:$A$41,0))),((2*$E$17*$E$19/($E$12^2))/(5*COS(Q$117*PI()/180)/(24*INDEX('Геом. характеристики швеллера'!$K$6:$K$41,MATCH('без учета бимомента,два тяжа'!$J121,'Геом. характеристики швеллера'!$A$6:$A$41,0)))+SIN(Q$117*PI()/180)/(45*INDEX('Геом. характеристики швеллера'!$O$6:$O$41,MATCH('без учета бимомента,два тяжа'!$J121,'Геом. характеристики швеллера'!$A$6:$A$41,0))))/10-INDEX('Геом. характеристики швеллера'!$I$6:$I$41,MATCH('без учета бимомента,два тяжа'!$J121,'Геом. характеристики швеллера'!$A$6:$A$41,0))))</f>
        <v>168.20905912012779</v>
      </c>
      <c r="R121" s="11"/>
      <c r="S121" s="11"/>
    </row>
    <row r="122" spans="1:19" ht="16.5" thickBot="1" x14ac:dyDescent="0.3">
      <c r="I122" s="11"/>
      <c r="J122" s="40" t="s">
        <v>76</v>
      </c>
      <c r="K122" s="53">
        <f>IF(((8*$E$17*$E$19/($E$12^2))/(COS(K$117*PI()/180)/(INDEX('Геом. характеристики швеллера'!$K$6:$K$41,MATCH('без учета бимомента,два тяжа'!$J122,'Геом. характеристики швеллера'!$A$6:$A$41,0)))+SIN(K$117*PI()/180)/(45*INDEX('Геом.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швеллера'!$A$6:$A$41,0)))&lt;((2*$E$17*$E$19/($E$12^2))/(5*COS(K$117*PI()/180)/(24*INDEX('Геом. характеристики швеллера'!$K$6:$K$41,MATCH('без учета бимомента,два тяжа'!$J122,'Геом. характеристики швеллера'!$A$6:$A$41,0)))+SIN(K$117*PI()/180)/(45*INDEX('Геом.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швеллера'!$A$6:$A$41,0))),((8*$E$17*$E$19/($E$12^2))/(COS(K$117*PI()/180)/(INDEX('Геом. характеристики швеллера'!$K$6:$K$41,MATCH('без учета бимомента,два тяжа'!$J122,'Геом. характеристики швеллера'!$A$6:$A$41,0)))+SIN(K$117*PI()/180)/(45*INDEX('Геом.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швеллера'!$A$6:$A$41,0))),((2*$E$17*$E$19/($E$12^2))/(5*COS(K$117*PI()/180)/(24*INDEX('Геом. характеристики швеллера'!$K$6:$K$41,MATCH('без учета бимомента,два тяжа'!$J122,'Геом. характеристики швеллера'!$A$6:$A$41,0)))+SIN(K$117*PI()/180)/(45*INDEX('Геом.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швеллера'!$A$6:$A$41,0))))</f>
        <v>232.47999999999996</v>
      </c>
      <c r="L122" s="53">
        <f>IF(((8*$E$17*$E$19/($E$12^2))/(COS(L$117*PI()/180)/(INDEX('Геом. характеристики швеллера'!$K$6:$K$41,MATCH('без учета бимомента,два тяжа'!$J122,'Геом. характеристики швеллера'!$A$6:$A$41,0)))+SIN(L$117*PI()/180)/(45*INDEX('Геом.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швеллера'!$A$6:$A$41,0)))&lt;((2*$E$17*$E$19/($E$12^2))/(5*COS(L$117*PI()/180)/(24*INDEX('Геом. характеристики швеллера'!$K$6:$K$41,MATCH('без учета бимомента,два тяжа'!$J122,'Геом. характеристики швеллера'!$A$6:$A$41,0)))+SIN(L$117*PI()/180)/(45*INDEX('Геом.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швеллера'!$A$6:$A$41,0))),((8*$E$17*$E$19/($E$12^2))/(COS(L$117*PI()/180)/(INDEX('Геом. характеристики швеллера'!$K$6:$K$41,MATCH('без учета бимомента,два тяжа'!$J122,'Геом. характеристики швеллера'!$A$6:$A$41,0)))+SIN(L$117*PI()/180)/(45*INDEX('Геом.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швеллера'!$A$6:$A$41,0))),((2*$E$17*$E$19/($E$12^2))/(5*COS(L$117*PI()/180)/(24*INDEX('Геом. характеристики швеллера'!$K$6:$K$41,MATCH('без учета бимомента,два тяжа'!$J122,'Геом. характеристики швеллера'!$A$6:$A$41,0)))+SIN(L$117*PI()/180)/(45*INDEX('Геом.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швеллера'!$A$6:$A$41,0))))</f>
        <v>230.62477071229139</v>
      </c>
      <c r="M122" s="53">
        <f>IF(((8*$E$17*$E$19/($E$12^2))/(COS(M$117*PI()/180)/(INDEX('Геом. характеристики швеллера'!$K$6:$K$41,MATCH('без учета бимомента,два тяжа'!$J122,'Геом. характеристики швеллера'!$A$6:$A$41,0)))+SIN(M$117*PI()/180)/(45*INDEX('Геом.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швеллера'!$A$6:$A$41,0)))&lt;((2*$E$17*$E$19/($E$12^2))/(5*COS(M$117*PI()/180)/(24*INDEX('Геом. характеристики швеллера'!$K$6:$K$41,MATCH('без учета бимомента,два тяжа'!$J122,'Геом. характеристики швеллера'!$A$6:$A$41,0)))+SIN(M$117*PI()/180)/(45*INDEX('Геом.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швеллера'!$A$6:$A$41,0))),((8*$E$17*$E$19/($E$12^2))/(COS(M$117*PI()/180)/(INDEX('Геом. характеристики швеллера'!$K$6:$K$41,MATCH('без учета бимомента,два тяжа'!$J122,'Геом. характеристики швеллера'!$A$6:$A$41,0)))+SIN(M$117*PI()/180)/(45*INDEX('Геом.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швеллера'!$A$6:$A$41,0))),((2*$E$17*$E$19/($E$12^2))/(5*COS(M$117*PI()/180)/(24*INDEX('Геом. характеристики швеллера'!$K$6:$K$41,MATCH('без учета бимомента,два тяжа'!$J122,'Геом. характеристики швеллера'!$A$6:$A$41,0)))+SIN(M$117*PI()/180)/(45*INDEX('Геом.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швеллера'!$A$6:$A$41,0))))</f>
        <v>230.61805674711167</v>
      </c>
      <c r="N122" s="53">
        <f>IF(((8*$E$17*$E$19/($E$12^2))/(COS(N$117*PI()/180)/(INDEX('Геом. характеристики швеллера'!$K$6:$K$41,MATCH('без учета бимомента,два тяжа'!$J122,'Геом. характеристики швеллера'!$A$6:$A$41,0)))+SIN(N$117*PI()/180)/(45*INDEX('Геом.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швеллера'!$A$6:$A$41,0)))&lt;((2*$E$17*$E$19/($E$12^2))/(5*COS(N$117*PI()/180)/(24*INDEX('Геом. характеристики швеллера'!$K$6:$K$41,MATCH('без учета бимомента,два тяжа'!$J122,'Геом. характеристики швеллера'!$A$6:$A$41,0)))+SIN(N$117*PI()/180)/(45*INDEX('Геом.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швеллера'!$A$6:$A$41,0))),((8*$E$17*$E$19/($E$12^2))/(COS(N$117*PI()/180)/(INDEX('Геом. характеристики швеллера'!$K$6:$K$41,MATCH('без учета бимомента,два тяжа'!$J122,'Геом. характеристики швеллера'!$A$6:$A$41,0)))+SIN(N$117*PI()/180)/(45*INDEX('Геом.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швеллера'!$A$6:$A$41,0))),((2*$E$17*$E$19/($E$12^2))/(5*COS(N$117*PI()/180)/(24*INDEX('Геом. характеристики швеллера'!$K$6:$K$41,MATCH('без учета бимомента,два тяжа'!$J122,'Геом. характеристики швеллера'!$A$6:$A$41,0)))+SIN(N$117*PI()/180)/(45*INDEX('Геом.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швеллера'!$A$6:$A$41,0))))</f>
        <v>232.45959986872626</v>
      </c>
      <c r="O122" s="53">
        <f>IF(((8*$E$17*$E$19/($E$12^2))/(COS(O$117*PI()/180)/(INDEX('Геом. характеристики швеллера'!$K$6:$K$41,MATCH('без учета бимомента,два тяжа'!$J122,'Геом. характеристики швеллера'!$A$6:$A$41,0)))+SIN(O$117*PI()/180)/(45*INDEX('Геом.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швеллера'!$A$6:$A$41,0)))&lt;((2*$E$17*$E$19/($E$12^2))/(5*COS(O$117*PI()/180)/(24*INDEX('Геом. характеристики швеллера'!$K$6:$K$41,MATCH('без учета бимомента,два тяжа'!$J122,'Геом. характеристики швеллера'!$A$6:$A$41,0)))+SIN(O$117*PI()/180)/(45*INDEX('Геом.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швеллера'!$A$6:$A$41,0))),((8*$E$17*$E$19/($E$12^2))/(COS(O$117*PI()/180)/(INDEX('Геом. характеристики швеллера'!$K$6:$K$41,MATCH('без учета бимомента,два тяжа'!$J122,'Геом. характеристики швеллера'!$A$6:$A$41,0)))+SIN(O$117*PI()/180)/(45*INDEX('Геом.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швеллера'!$A$6:$A$41,0))),((2*$E$17*$E$19/($E$12^2))/(5*COS(O$117*PI()/180)/(24*INDEX('Геом. характеристики швеллера'!$K$6:$K$41,MATCH('без учета бимомента,два тяжа'!$J122,'Геом. характеристики швеллера'!$A$6:$A$41,0)))+SIN(O$117*PI()/180)/(45*INDEX('Геом.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швеллера'!$A$6:$A$41,0))))</f>
        <v>236.22088630630847</v>
      </c>
      <c r="P122" s="53">
        <f>IF(((8*$E$17*$E$19/($E$12^2))/(COS(P$117*PI()/180)/(INDEX('Геом. характеристики швеллера'!$K$6:$K$41,MATCH('без учета бимомента,два тяжа'!$J122,'Геом. характеристики швеллера'!$A$6:$A$41,0)))+SIN(P$117*PI()/180)/(45*INDEX('Геом.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швеллера'!$A$6:$A$41,0)))&lt;((2*$E$17*$E$19/($E$12^2))/(5*COS(P$117*PI()/180)/(24*INDEX('Геом. характеристики швеллера'!$K$6:$K$41,MATCH('без учета бимомента,два тяжа'!$J122,'Геом. характеристики швеллера'!$A$6:$A$41,0)))+SIN(P$117*PI()/180)/(45*INDEX('Геом.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швеллера'!$A$6:$A$41,0))),((8*$E$17*$E$19/($E$12^2))/(COS(P$117*PI()/180)/(INDEX('Геом. характеристики швеллера'!$K$6:$K$41,MATCH('без учета бимомента,два тяжа'!$J122,'Геом. характеристики швеллера'!$A$6:$A$41,0)))+SIN(P$117*PI()/180)/(45*INDEX('Геом.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швеллера'!$A$6:$A$41,0))),((2*$E$17*$E$19/($E$12^2))/(5*COS(P$117*PI()/180)/(24*INDEX('Геом. характеристики швеллера'!$K$6:$K$41,MATCH('без учета бимомента,два тяжа'!$J122,'Геом. характеристики швеллера'!$A$6:$A$41,0)))+SIN(P$117*PI()/180)/(45*INDEX('Геом.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швеллера'!$A$6:$A$41,0))))</f>
        <v>237.85214393250894</v>
      </c>
      <c r="Q122" s="53">
        <f>IF(((8*$E$17*$E$19/($E$12^2))/(COS(Q$117*PI()/180)/(INDEX('Геом. характеристики швеллера'!$K$6:$K$41,MATCH('без учета бимомента,два тяжа'!$J122,'Геом. характеристики швеллера'!$A$6:$A$41,0)))+SIN(Q$117*PI()/180)/(45*INDEX('Геом.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швеллера'!$A$6:$A$41,0)))&lt;((2*$E$17*$E$19/($E$12^2))/(5*COS(Q$117*PI()/180)/(24*INDEX('Геом. характеристики швеллера'!$K$6:$K$41,MATCH('без учета бимомента,два тяжа'!$J122,'Геом. характеристики швеллера'!$A$6:$A$41,0)))+SIN(Q$117*PI()/180)/(45*INDEX('Геом.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швеллера'!$A$6:$A$41,0))),((8*$E$17*$E$19/($E$12^2))/(COS(Q$117*PI()/180)/(INDEX('Геом. характеристики швеллера'!$K$6:$K$41,MATCH('без учета бимомента,два тяжа'!$J122,'Геом. характеристики швеллера'!$A$6:$A$41,0)))+SIN(Q$117*PI()/180)/(45*INDEX('Геом.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швеллера'!$A$6:$A$41,0))),((2*$E$17*$E$19/($E$12^2))/(5*COS(Q$117*PI()/180)/(24*INDEX('Геом. характеристики швеллера'!$K$6:$K$41,MATCH('без учета бимомента,два тяжа'!$J122,'Геом. характеристики швеллера'!$A$6:$A$41,0)))+SIN(Q$117*PI()/180)/(45*INDEX('Геом. характеристики швеллера'!$O$6:$O$41,MATCH('без учета бимомента,два тяжа'!$J122,'Геом. характеристики швеллера'!$A$6:$A$41,0))))/10-INDEX('Геом. характеристики швеллера'!$I$6:$I$41,MATCH('без учета бимомента,два тяжа'!$J122,'Геом. характеристики швеллера'!$A$6:$A$41,0))))</f>
        <v>236.0180878022822</v>
      </c>
      <c r="R122" s="11"/>
      <c r="S122" s="11"/>
    </row>
    <row r="123" spans="1:19" ht="16.5" thickBot="1" x14ac:dyDescent="0.3">
      <c r="D123" s="2">
        <f>C104*1000/(E28*E17*E19)+C112*1000/(E29*E17*E19)</f>
        <v>0.81414268845534554</v>
      </c>
      <c r="E123" s="115" t="str">
        <f>IF(D123&lt;1,"Условия прочности обеспечены","Условия прочности не обеспечены")</f>
        <v>Условия прочности обеспечены</v>
      </c>
      <c r="F123" s="115"/>
      <c r="G123" s="115"/>
      <c r="I123" s="11"/>
      <c r="J123" s="40" t="s">
        <v>77</v>
      </c>
      <c r="K123" s="53">
        <f>IF(((8*$E$17*$E$19/($E$12^2))/(COS(K$117*PI()/180)/(INDEX('Геом. характеристики швеллера'!$K$6:$K$41,MATCH('без учета бимомента,два тяжа'!$J123,'Геом. характеристики швеллера'!$A$6:$A$41,0)))+SIN(K$117*PI()/180)/(45*INDEX('Геом.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швеллера'!$A$6:$A$41,0)))&lt;((2*$E$17*$E$19/($E$12^2))/(5*COS(K$117*PI()/180)/(24*INDEX('Геом. характеристики швеллера'!$K$6:$K$41,MATCH('без учета бимомента,два тяжа'!$J123,'Геом. характеристики швеллера'!$A$6:$A$41,0)))+SIN(K$117*PI()/180)/(45*INDEX('Геом.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швеллера'!$A$6:$A$41,0))),((8*$E$17*$E$19/($E$12^2))/(COS(K$117*PI()/180)/(INDEX('Геом. характеристики швеллера'!$K$6:$K$41,MATCH('без учета бимомента,два тяжа'!$J123,'Геом. характеристики швеллера'!$A$6:$A$41,0)))+SIN(K$117*PI()/180)/(45*INDEX('Геом.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швеллера'!$A$6:$A$41,0))),((2*$E$17*$E$19/($E$12^2))/(5*COS(K$117*PI()/180)/(24*INDEX('Геом. характеристики швеллера'!$K$6:$K$41,MATCH('без учета бимомента,два тяжа'!$J123,'Геом. характеристики швеллера'!$A$6:$A$41,0)))+SIN(K$117*PI()/180)/(45*INDEX('Геом.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швеллера'!$A$6:$A$41,0))))</f>
        <v>324.65999999999997</v>
      </c>
      <c r="L123" s="53">
        <f>IF(((8*$E$17*$E$19/($E$12^2))/(COS(L$117*PI()/180)/(INDEX('Геом. характеристики швеллера'!$K$6:$K$41,MATCH('без учета бимомента,два тяжа'!$J123,'Геом. характеристики швеллера'!$A$6:$A$41,0)))+SIN(L$117*PI()/180)/(45*INDEX('Геом.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швеллера'!$A$6:$A$41,0)))&lt;((2*$E$17*$E$19/($E$12^2))/(5*COS(L$117*PI()/180)/(24*INDEX('Геом. характеристики швеллера'!$K$6:$K$41,MATCH('без учета бимомента,два тяжа'!$J123,'Геом. характеристики швеллера'!$A$6:$A$41,0)))+SIN(L$117*PI()/180)/(45*INDEX('Геом.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швеллера'!$A$6:$A$41,0))),((8*$E$17*$E$19/($E$12^2))/(COS(L$117*PI()/180)/(INDEX('Геом. характеристики швеллера'!$K$6:$K$41,MATCH('без учета бимомента,два тяжа'!$J123,'Геом. характеристики швеллера'!$A$6:$A$41,0)))+SIN(L$117*PI()/180)/(45*INDEX('Геом.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швеллера'!$A$6:$A$41,0))),((2*$E$17*$E$19/($E$12^2))/(5*COS(L$117*PI()/180)/(24*INDEX('Геом. характеристики швеллера'!$K$6:$K$41,MATCH('без учета бимомента,два тяжа'!$J123,'Геом. характеристики швеллера'!$A$6:$A$41,0)))+SIN(L$117*PI()/180)/(45*INDEX('Геом.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швеллера'!$A$6:$A$41,0))))</f>
        <v>321.80177035881297</v>
      </c>
      <c r="M123" s="53">
        <f>IF(((8*$E$17*$E$19/($E$12^2))/(COS(M$117*PI()/180)/(INDEX('Геом. характеристики швеллера'!$K$6:$K$41,MATCH('без учета бимомента,два тяжа'!$J123,'Геом. характеристики швеллера'!$A$6:$A$41,0)))+SIN(M$117*PI()/180)/(45*INDEX('Геом.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швеллера'!$A$6:$A$41,0)))&lt;((2*$E$17*$E$19/($E$12^2))/(5*COS(M$117*PI()/180)/(24*INDEX('Геом. характеристики швеллера'!$K$6:$K$41,MATCH('без учета бимомента,два тяжа'!$J123,'Геом. характеристики швеллера'!$A$6:$A$41,0)))+SIN(M$117*PI()/180)/(45*INDEX('Геом.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швеллера'!$A$6:$A$41,0))),((8*$E$17*$E$19/($E$12^2))/(COS(M$117*PI()/180)/(INDEX('Геом. характеристики швеллера'!$K$6:$K$41,MATCH('без учета бимомента,два тяжа'!$J123,'Геом. характеристики швеллера'!$A$6:$A$41,0)))+SIN(M$117*PI()/180)/(45*INDEX('Геом.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швеллера'!$A$6:$A$41,0))),((2*$E$17*$E$19/($E$12^2))/(5*COS(M$117*PI()/180)/(24*INDEX('Геом. характеристики швеллера'!$K$6:$K$41,MATCH('без учета бимомента,два тяжа'!$J123,'Геом. характеристики швеллера'!$A$6:$A$41,0)))+SIN(M$117*PI()/180)/(45*INDEX('Геом.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швеллера'!$A$6:$A$41,0))))</f>
        <v>321.5107552804464</v>
      </c>
      <c r="N123" s="53">
        <f>IF(((8*$E$17*$E$19/($E$12^2))/(COS(N$117*PI()/180)/(INDEX('Геом. характеристики швеллера'!$K$6:$K$41,MATCH('без учета бимомента,два тяжа'!$J123,'Геом. характеристики швеллера'!$A$6:$A$41,0)))+SIN(N$117*PI()/180)/(45*INDEX('Геом.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швеллера'!$A$6:$A$41,0)))&lt;((2*$E$17*$E$19/($E$12^2))/(5*COS(N$117*PI()/180)/(24*INDEX('Геом. характеристики швеллера'!$K$6:$K$41,MATCH('без учета бимомента,два тяжа'!$J123,'Геом. характеристики швеллера'!$A$6:$A$41,0)))+SIN(N$117*PI()/180)/(45*INDEX('Геом.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швеллера'!$A$6:$A$41,0))),((8*$E$17*$E$19/($E$12^2))/(COS(N$117*PI()/180)/(INDEX('Геом. характеристики швеллера'!$K$6:$K$41,MATCH('без учета бимомента,два тяжа'!$J123,'Геом. характеристики швеллера'!$A$6:$A$41,0)))+SIN(N$117*PI()/180)/(45*INDEX('Геом.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швеллера'!$A$6:$A$41,0))),((2*$E$17*$E$19/($E$12^2))/(5*COS(N$117*PI()/180)/(24*INDEX('Геом. характеристики швеллера'!$K$6:$K$41,MATCH('без учета бимомента,два тяжа'!$J123,'Геом. характеристики швеллера'!$A$6:$A$41,0)))+SIN(N$117*PI()/180)/(45*INDEX('Геом.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швеллера'!$A$6:$A$41,0))))</f>
        <v>323.77576024698044</v>
      </c>
      <c r="O123" s="53">
        <f>IF(((8*$E$17*$E$19/($E$12^2))/(COS(O$117*PI()/180)/(INDEX('Геом. характеристики швеллера'!$K$6:$K$41,MATCH('без учета бимомента,два тяжа'!$J123,'Геом. характеристики швеллера'!$A$6:$A$41,0)))+SIN(O$117*PI()/180)/(45*INDEX('Геом.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швеллера'!$A$6:$A$41,0)))&lt;((2*$E$17*$E$19/($E$12^2))/(5*COS(O$117*PI()/180)/(24*INDEX('Геом. характеристики швеллера'!$K$6:$K$41,MATCH('без учета бимомента,два тяжа'!$J123,'Геом. характеристики швеллера'!$A$6:$A$41,0)))+SIN(O$117*PI()/180)/(45*INDEX('Геом.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швеллера'!$A$6:$A$41,0))),((8*$E$17*$E$19/($E$12^2))/(COS(O$117*PI()/180)/(INDEX('Геом. характеристики швеллера'!$K$6:$K$41,MATCH('без учета бимомента,два тяжа'!$J123,'Геом. характеристики швеллера'!$A$6:$A$41,0)))+SIN(O$117*PI()/180)/(45*INDEX('Геом.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швеллера'!$A$6:$A$41,0))),((2*$E$17*$E$19/($E$12^2))/(5*COS(O$117*PI()/180)/(24*INDEX('Геом. характеристики швеллера'!$K$6:$K$41,MATCH('без учета бимомента,два тяжа'!$J123,'Геом. характеристики швеллера'!$A$6:$A$41,0)))+SIN(O$117*PI()/180)/(45*INDEX('Геом.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швеллера'!$A$6:$A$41,0))))</f>
        <v>328.6845397075146</v>
      </c>
      <c r="P123" s="53">
        <f>IF(((8*$E$17*$E$19/($E$12^2))/(COS(P$117*PI()/180)/(INDEX('Геом. характеристики швеллера'!$K$6:$K$41,MATCH('без учета бимомента,два тяжа'!$J123,'Геом. характеристики швеллера'!$A$6:$A$41,0)))+SIN(P$117*PI()/180)/(45*INDEX('Геом.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швеллера'!$A$6:$A$41,0)))&lt;((2*$E$17*$E$19/($E$12^2))/(5*COS(P$117*PI()/180)/(24*INDEX('Геом. характеристики швеллера'!$K$6:$K$41,MATCH('без учета бимомента,два тяжа'!$J123,'Геом. характеристики швеллера'!$A$6:$A$41,0)))+SIN(P$117*PI()/180)/(45*INDEX('Геом.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швеллера'!$A$6:$A$41,0))),((8*$E$17*$E$19/($E$12^2))/(COS(P$117*PI()/180)/(INDEX('Геом. характеристики швеллера'!$K$6:$K$41,MATCH('без учета бимомента,два тяжа'!$J123,'Геом. характеристики швеллера'!$A$6:$A$41,0)))+SIN(P$117*PI()/180)/(45*INDEX('Геом.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швеллера'!$A$6:$A$41,0))),((2*$E$17*$E$19/($E$12^2))/(5*COS(P$117*PI()/180)/(24*INDEX('Геом. характеристики швеллера'!$K$6:$K$41,MATCH('без учета бимомента,два тяжа'!$J123,'Геом. характеристики швеллера'!$A$6:$A$41,0)))+SIN(P$117*PI()/180)/(45*INDEX('Геом.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швеллера'!$A$6:$A$41,0))))</f>
        <v>326.35452458463686</v>
      </c>
      <c r="Q123" s="53">
        <f>IF(((8*$E$17*$E$19/($E$12^2))/(COS(Q$117*PI()/180)/(INDEX('Геом. характеристики швеллера'!$K$6:$K$41,MATCH('без учета бимомента,два тяжа'!$J123,'Геом. характеристики швеллера'!$A$6:$A$41,0)))+SIN(Q$117*PI()/180)/(45*INDEX('Геом.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швеллера'!$A$6:$A$41,0)))&lt;((2*$E$17*$E$19/($E$12^2))/(5*COS(Q$117*PI()/180)/(24*INDEX('Геом. характеристики швеллера'!$K$6:$K$41,MATCH('без учета бимомента,два тяжа'!$J123,'Геом. характеристики швеллера'!$A$6:$A$41,0)))+SIN(Q$117*PI()/180)/(45*INDEX('Геом.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швеллера'!$A$6:$A$41,0))),((8*$E$17*$E$19/($E$12^2))/(COS(Q$117*PI()/180)/(INDEX('Геом. характеристики швеллера'!$K$6:$K$41,MATCH('без учета бимомента,два тяжа'!$J123,'Геом. характеристики швеллера'!$A$6:$A$41,0)))+SIN(Q$117*PI()/180)/(45*INDEX('Геом.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швеллера'!$A$6:$A$41,0))),((2*$E$17*$E$19/($E$12^2))/(5*COS(Q$117*PI()/180)/(24*INDEX('Геом. характеристики швеллера'!$K$6:$K$41,MATCH('без учета бимомента,два тяжа'!$J123,'Геом. характеристики швеллера'!$A$6:$A$41,0)))+SIN(Q$117*PI()/180)/(45*INDEX('Геом. характеристики швеллера'!$O$6:$O$41,MATCH('без учета бимомента,два тяжа'!$J123,'Геом. характеристики швеллера'!$A$6:$A$41,0))))/10-INDEX('Геом. характеристики швеллера'!$I$6:$I$41,MATCH('без учета бимомента,два тяжа'!$J123,'Геом. характеристики швеллера'!$A$6:$A$41,0))))</f>
        <v>322.87545878099894</v>
      </c>
      <c r="R123" s="11"/>
      <c r="S123" s="11"/>
    </row>
    <row r="124" spans="1:19" ht="16.5" thickBot="1" x14ac:dyDescent="0.3">
      <c r="I124" s="11"/>
      <c r="J124" s="40" t="s">
        <v>78</v>
      </c>
      <c r="K124" s="53">
        <f>IF(((8*$E$17*$E$19/($E$12^2))/(COS(K$117*PI()/180)/(INDEX('Геом. характеристики швеллера'!$K$6:$K$41,MATCH('без учета бимомента,два тяжа'!$J124,'Геом. характеристики швеллера'!$A$6:$A$41,0)))+SIN(K$117*PI()/180)/(45*INDEX('Геом.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швеллера'!$A$6:$A$41,0)))&lt;((2*$E$17*$E$19/($E$12^2))/(5*COS(K$117*PI()/180)/(24*INDEX('Геом. характеристики швеллера'!$K$6:$K$41,MATCH('без учета бимомента,два тяжа'!$J124,'Геом. характеристики швеллера'!$A$6:$A$41,0)))+SIN(K$117*PI()/180)/(45*INDEX('Геом.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швеллера'!$A$6:$A$41,0))),((8*$E$17*$E$19/($E$12^2))/(COS(K$117*PI()/180)/(INDEX('Геом. характеристики швеллера'!$K$6:$K$41,MATCH('без учета бимомента,два тяжа'!$J124,'Геом. характеристики швеллера'!$A$6:$A$41,0)))+SIN(K$117*PI()/180)/(45*INDEX('Геом.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швеллера'!$A$6:$A$41,0))),((2*$E$17*$E$19/($E$12^2))/(5*COS(K$117*PI()/180)/(24*INDEX('Геом. характеристики швеллера'!$K$6:$K$41,MATCH('без учета бимомента,два тяжа'!$J124,'Геом. характеристики швеллера'!$A$6:$A$41,0)))+SIN(K$117*PI()/180)/(45*INDEX('Геом.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швеллера'!$A$6:$A$41,0))))</f>
        <v>434.12000000000006</v>
      </c>
      <c r="L124" s="53">
        <f>IF(((8*$E$17*$E$19/($E$12^2))/(COS(L$117*PI()/180)/(INDEX('Геом. характеристики швеллера'!$K$6:$K$41,MATCH('без учета бимомента,два тяжа'!$J124,'Геом. характеристики швеллера'!$A$6:$A$41,0)))+SIN(L$117*PI()/180)/(45*INDEX('Геом.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швеллера'!$A$6:$A$41,0)))&lt;((2*$E$17*$E$19/($E$12^2))/(5*COS(L$117*PI()/180)/(24*INDEX('Геом. характеристики швеллера'!$K$6:$K$41,MATCH('без учета бимомента,два тяжа'!$J124,'Геом. характеристики швеллера'!$A$6:$A$41,0)))+SIN(L$117*PI()/180)/(45*INDEX('Геом.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швеллера'!$A$6:$A$41,0))),((8*$E$17*$E$19/($E$12^2))/(COS(L$117*PI()/180)/(INDEX('Геом. характеристики швеллера'!$K$6:$K$41,MATCH('без учета бимомента,два тяжа'!$J124,'Геом. характеристики швеллера'!$A$6:$A$41,0)))+SIN(L$117*PI()/180)/(45*INDEX('Геом.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швеллера'!$A$6:$A$41,0))),((2*$E$17*$E$19/($E$12^2))/(5*COS(L$117*PI()/180)/(24*INDEX('Геом. характеристики швеллера'!$K$6:$K$41,MATCH('без учета бимомента,два тяжа'!$J124,'Геом. характеристики швеллера'!$A$6:$A$41,0)))+SIN(L$117*PI()/180)/(45*INDEX('Геом.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швеллера'!$A$6:$A$41,0))))</f>
        <v>429.98765721502144</v>
      </c>
      <c r="M124" s="53">
        <f>IF(((8*$E$17*$E$19/($E$12^2))/(COS(M$117*PI()/180)/(INDEX('Геом. характеристики швеллера'!$K$6:$K$41,MATCH('без учета бимомента,два тяжа'!$J124,'Геом. характеристики швеллера'!$A$6:$A$41,0)))+SIN(M$117*PI()/180)/(45*INDEX('Геом.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швеллера'!$A$6:$A$41,0)))&lt;((2*$E$17*$E$19/($E$12^2))/(5*COS(M$117*PI()/180)/(24*INDEX('Геом. характеристики швеллера'!$K$6:$K$41,MATCH('без учета бимомента,два тяжа'!$J124,'Геом. характеристики швеллера'!$A$6:$A$41,0)))+SIN(M$117*PI()/180)/(45*INDEX('Геом.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швеллера'!$A$6:$A$41,0))),((8*$E$17*$E$19/($E$12^2))/(COS(M$117*PI()/180)/(INDEX('Геом. характеристики швеллера'!$K$6:$K$41,MATCH('без учета бимомента,два тяжа'!$J124,'Геом. характеристики швеллера'!$A$6:$A$41,0)))+SIN(M$117*PI()/180)/(45*INDEX('Геом.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швеллера'!$A$6:$A$41,0))),((2*$E$17*$E$19/($E$12^2))/(5*COS(M$117*PI()/180)/(24*INDEX('Геом. характеристики швеллера'!$K$6:$K$41,MATCH('без учета бимомента,два тяжа'!$J124,'Геом. характеристики швеллера'!$A$6:$A$41,0)))+SIN(M$117*PI()/180)/(45*INDEX('Геом.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швеллера'!$A$6:$A$41,0))))</f>
        <v>429.2750851023967</v>
      </c>
      <c r="N124" s="53">
        <f>IF(((8*$E$17*$E$19/($E$12^2))/(COS(N$117*PI()/180)/(INDEX('Геом. характеристики швеллера'!$K$6:$K$41,MATCH('без учета бимомента,два тяжа'!$J124,'Геом. характеристики швеллера'!$A$6:$A$41,0)))+SIN(N$117*PI()/180)/(45*INDEX('Геом.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швеллера'!$A$6:$A$41,0)))&lt;((2*$E$17*$E$19/($E$12^2))/(5*COS(N$117*PI()/180)/(24*INDEX('Геом. характеристики швеллера'!$K$6:$K$41,MATCH('без учета бимомента,два тяжа'!$J124,'Геом. характеристики швеллера'!$A$6:$A$41,0)))+SIN(N$117*PI()/180)/(45*INDEX('Геом.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швеллера'!$A$6:$A$41,0))),((8*$E$17*$E$19/($E$12^2))/(COS(N$117*PI()/180)/(INDEX('Геом. характеристики швеллера'!$K$6:$K$41,MATCH('без учета бимомента,два тяжа'!$J124,'Геом. характеристики швеллера'!$A$6:$A$41,0)))+SIN(N$117*PI()/180)/(45*INDEX('Геом.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швеллера'!$A$6:$A$41,0))),((2*$E$17*$E$19/($E$12^2))/(5*COS(N$117*PI()/180)/(24*INDEX('Геом. характеристики швеллера'!$K$6:$K$41,MATCH('без учета бимомента,два тяжа'!$J124,'Геом. характеристики швеллера'!$A$6:$A$41,0)))+SIN(N$117*PI()/180)/(45*INDEX('Геом.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швеллера'!$A$6:$A$41,0))))</f>
        <v>431.95486508610213</v>
      </c>
      <c r="O124" s="53">
        <f>IF(((8*$E$17*$E$19/($E$12^2))/(COS(O$117*PI()/180)/(INDEX('Геом. характеристики швеллера'!$K$6:$K$41,MATCH('без учета бимомента,два тяжа'!$J124,'Геом. характеристики швеллера'!$A$6:$A$41,0)))+SIN(O$117*PI()/180)/(45*INDEX('Геом.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швеллера'!$A$6:$A$41,0)))&lt;((2*$E$17*$E$19/($E$12^2))/(5*COS(O$117*PI()/180)/(24*INDEX('Геом. характеристики швеллера'!$K$6:$K$41,MATCH('без учета бимомента,два тяжа'!$J124,'Геом. характеристики швеллера'!$A$6:$A$41,0)))+SIN(O$117*PI()/180)/(45*INDEX('Геом.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швеллера'!$A$6:$A$41,0))),((8*$E$17*$E$19/($E$12^2))/(COS(O$117*PI()/180)/(INDEX('Геом. характеристики швеллера'!$K$6:$K$41,MATCH('без учета бимомента,два тяжа'!$J124,'Геом. характеристики швеллера'!$A$6:$A$41,0)))+SIN(O$117*PI()/180)/(45*INDEX('Геом.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швеллера'!$A$6:$A$41,0))),((2*$E$17*$E$19/($E$12^2))/(5*COS(O$117*PI()/180)/(24*INDEX('Геом. характеристики швеллера'!$K$6:$K$41,MATCH('без учета бимомента,два тяжа'!$J124,'Геом. характеристики швеллера'!$A$6:$A$41,0)))+SIN(O$117*PI()/180)/(45*INDEX('Геом.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швеллера'!$A$6:$A$41,0))))</f>
        <v>438.13066604403849</v>
      </c>
      <c r="P124" s="53">
        <f>IF(((8*$E$17*$E$19/($E$12^2))/(COS(P$117*PI()/180)/(INDEX('Геом. характеристики швеллера'!$K$6:$K$41,MATCH('без учета бимомента,два тяжа'!$J124,'Геом. характеристики швеллера'!$A$6:$A$41,0)))+SIN(P$117*PI()/180)/(45*INDEX('Геом.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швеллера'!$A$6:$A$41,0)))&lt;((2*$E$17*$E$19/($E$12^2))/(5*COS(P$117*PI()/180)/(24*INDEX('Геом. характеристики швеллера'!$K$6:$K$41,MATCH('без учета бимомента,два тяжа'!$J124,'Геом. характеристики швеллера'!$A$6:$A$41,0)))+SIN(P$117*PI()/180)/(45*INDEX('Геом.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швеллера'!$A$6:$A$41,0))),((8*$E$17*$E$19/($E$12^2))/(COS(P$117*PI()/180)/(INDEX('Геом. характеристики швеллера'!$K$6:$K$41,MATCH('без учета бимомента,два тяжа'!$J124,'Геом. характеристики швеллера'!$A$6:$A$41,0)))+SIN(P$117*PI()/180)/(45*INDEX('Геом.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швеллера'!$A$6:$A$41,0))),((2*$E$17*$E$19/($E$12^2))/(5*COS(P$117*PI()/180)/(24*INDEX('Геом. характеристики швеллера'!$K$6:$K$41,MATCH('без учета бимомента,два тяжа'!$J124,'Геом. характеристики швеллера'!$A$6:$A$41,0)))+SIN(P$117*PI()/180)/(45*INDEX('Геом.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швеллера'!$A$6:$A$41,0))))</f>
        <v>429.8975247552533</v>
      </c>
      <c r="Q124" s="53">
        <f>IF(((8*$E$17*$E$19/($E$12^2))/(COS(Q$117*PI()/180)/(INDEX('Геом. характеристики швеллера'!$K$6:$K$41,MATCH('без учета бимомента,два тяжа'!$J124,'Геом. характеристики швеллера'!$A$6:$A$41,0)))+SIN(Q$117*PI()/180)/(45*INDEX('Геом.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швеллера'!$A$6:$A$41,0)))&lt;((2*$E$17*$E$19/($E$12^2))/(5*COS(Q$117*PI()/180)/(24*INDEX('Геом. характеристики швеллера'!$K$6:$K$41,MATCH('без учета бимомента,два тяжа'!$J124,'Геом. характеристики швеллера'!$A$6:$A$41,0)))+SIN(Q$117*PI()/180)/(45*INDEX('Геом.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швеллера'!$A$6:$A$41,0))),((8*$E$17*$E$19/($E$12^2))/(COS(Q$117*PI()/180)/(INDEX('Геом. характеристики швеллера'!$K$6:$K$41,MATCH('без учета бимомента,два тяжа'!$J124,'Геом. характеристики швеллера'!$A$6:$A$41,0)))+SIN(Q$117*PI()/180)/(45*INDEX('Геом.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швеллера'!$A$6:$A$41,0))),((2*$E$17*$E$19/($E$12^2))/(5*COS(Q$117*PI()/180)/(24*INDEX('Геом. характеристики швеллера'!$K$6:$K$41,MATCH('без учета бимомента,два тяжа'!$J124,'Геом. характеристики швеллера'!$A$6:$A$41,0)))+SIN(Q$117*PI()/180)/(45*INDEX('Геом. характеристики швеллера'!$O$6:$O$41,MATCH('без учета бимомента,два тяжа'!$J124,'Геом. характеристики швеллера'!$A$6:$A$41,0))))/10-INDEX('Геом. характеристики швеллера'!$I$6:$I$41,MATCH('без учета бимомента,два тяжа'!$J124,'Геом. характеристики швеллера'!$A$6:$A$41,0))))</f>
        <v>424.2577739101111</v>
      </c>
      <c r="R124" s="11"/>
      <c r="S124" s="11"/>
    </row>
    <row r="125" spans="1:19" ht="16.5" thickBot="1" x14ac:dyDescent="0.3">
      <c r="I125" s="11"/>
      <c r="J125" s="40" t="s">
        <v>79</v>
      </c>
      <c r="K125" s="53">
        <f>IF(((8*$E$17*$E$19/($E$12^2))/(COS(K$117*PI()/180)/(INDEX('Геом. характеристики швеллера'!$K$6:$K$41,MATCH('без учета бимомента,два тяжа'!$J125,'Геом. характеристики швеллера'!$A$6:$A$41,0)))+SIN(K$117*PI()/180)/(45*INDEX('Геом.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швеллера'!$A$6:$A$41,0)))&lt;((2*$E$17*$E$19/($E$12^2))/(5*COS(K$117*PI()/180)/(24*INDEX('Геом. характеристики швеллера'!$K$6:$K$41,MATCH('без учета бимомента,два тяжа'!$J125,'Геом. характеристики швеллера'!$A$6:$A$41,0)))+SIN(K$117*PI()/180)/(45*INDEX('Геом.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швеллера'!$A$6:$A$41,0))),((8*$E$17*$E$19/($E$12^2))/(COS(K$117*PI()/180)/(INDEX('Геом. характеристики швеллера'!$K$6:$K$41,MATCH('без учета бимомента,два тяжа'!$J125,'Геом. характеристики швеллера'!$A$6:$A$41,0)))+SIN(K$117*PI()/180)/(45*INDEX('Геом.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швеллера'!$A$6:$A$41,0))),((2*$E$17*$E$19/($E$12^2))/(5*COS(K$117*PI()/180)/(24*INDEX('Геом. характеристики швеллера'!$K$6:$K$41,MATCH('без учета бимомента,два тяжа'!$J125,'Геом. характеристики швеллера'!$A$6:$A$41,0)))+SIN(K$117*PI()/180)/(45*INDEX('Геом.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швеллера'!$A$6:$A$41,0))))</f>
        <v>479.09999999999997</v>
      </c>
      <c r="L125" s="53">
        <f>IF(((8*$E$17*$E$19/($E$12^2))/(COS(L$117*PI()/180)/(INDEX('Геом. характеристики швеллера'!$K$6:$K$41,MATCH('без учета бимомента,два тяжа'!$J125,'Геом. характеристики швеллера'!$A$6:$A$41,0)))+SIN(L$117*PI()/180)/(45*INDEX('Геом.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швеллера'!$A$6:$A$41,0)))&lt;((2*$E$17*$E$19/($E$12^2))/(5*COS(L$117*PI()/180)/(24*INDEX('Геом. характеристики швеллера'!$K$6:$K$41,MATCH('без учета бимомента,два тяжа'!$J125,'Геом. характеристики швеллера'!$A$6:$A$41,0)))+SIN(L$117*PI()/180)/(45*INDEX('Геом.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швеллера'!$A$6:$A$41,0))),((8*$E$17*$E$19/($E$12^2))/(COS(L$117*PI()/180)/(INDEX('Геом. характеристики швеллера'!$K$6:$K$41,MATCH('без учета бимомента,два тяжа'!$J125,'Геом. характеристики швеллера'!$A$6:$A$41,0)))+SIN(L$117*PI()/180)/(45*INDEX('Геом.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швеллера'!$A$6:$A$41,0))),((2*$E$17*$E$19/($E$12^2))/(5*COS(L$117*PI()/180)/(24*INDEX('Геом. характеристики швеллера'!$K$6:$K$41,MATCH('без учета бимомента,два тяжа'!$J125,'Геом. характеристики швеллера'!$A$6:$A$41,0)))+SIN(L$117*PI()/180)/(45*INDEX('Геом.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швеллера'!$A$6:$A$41,0))))</f>
        <v>475.00170972110379</v>
      </c>
      <c r="M125" s="53">
        <f>IF(((8*$E$17*$E$19/($E$12^2))/(COS(M$117*PI()/180)/(INDEX('Геом. характеристики швеллера'!$K$6:$K$41,MATCH('без учета бимомента,два тяжа'!$J125,'Геом. характеристики швеллера'!$A$6:$A$41,0)))+SIN(M$117*PI()/180)/(45*INDEX('Геом.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швеллера'!$A$6:$A$41,0)))&lt;((2*$E$17*$E$19/($E$12^2))/(5*COS(M$117*PI()/180)/(24*INDEX('Геом. характеристики швеллера'!$K$6:$K$41,MATCH('без учета бимомента,два тяжа'!$J125,'Геом. характеристики швеллера'!$A$6:$A$41,0)))+SIN(M$117*PI()/180)/(45*INDEX('Геом.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швеллера'!$A$6:$A$41,0))),((8*$E$17*$E$19/($E$12^2))/(COS(M$117*PI()/180)/(INDEX('Геом. характеристики швеллера'!$K$6:$K$41,MATCH('без учета бимомента,два тяжа'!$J125,'Геом. характеристики швеллера'!$A$6:$A$41,0)))+SIN(M$117*PI()/180)/(45*INDEX('Геом.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швеллера'!$A$6:$A$41,0))),((2*$E$17*$E$19/($E$12^2))/(5*COS(M$117*PI()/180)/(24*INDEX('Геом. характеристики швеллера'!$K$6:$K$41,MATCH('без учета бимомента,два тяжа'!$J125,'Геом. характеристики швеллера'!$A$6:$A$41,0)))+SIN(M$117*PI()/180)/(45*INDEX('Геом.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швеллера'!$A$6:$A$41,0))))</f>
        <v>474.66910973834575</v>
      </c>
      <c r="N125" s="53">
        <f>IF(((8*$E$17*$E$19/($E$12^2))/(COS(N$117*PI()/180)/(INDEX('Геом. характеристики швеллера'!$K$6:$K$41,MATCH('без учета бимомента,два тяжа'!$J125,'Геом. характеристики швеллера'!$A$6:$A$41,0)))+SIN(N$117*PI()/180)/(45*INDEX('Геом.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швеллера'!$A$6:$A$41,0)))&lt;((2*$E$17*$E$19/($E$12^2))/(5*COS(N$117*PI()/180)/(24*INDEX('Геом. характеристики швеллера'!$K$6:$K$41,MATCH('без учета бимомента,два тяжа'!$J125,'Геом. характеристики швеллера'!$A$6:$A$41,0)))+SIN(N$117*PI()/180)/(45*INDEX('Геом.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швеллера'!$A$6:$A$41,0))),((8*$E$17*$E$19/($E$12^2))/(COS(N$117*PI()/180)/(INDEX('Геом. характеристики швеллера'!$K$6:$K$41,MATCH('без учета бимомента,два тяжа'!$J125,'Геом. характеристики швеллера'!$A$6:$A$41,0)))+SIN(N$117*PI()/180)/(45*INDEX('Геом.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швеллера'!$A$6:$A$41,0))),((2*$E$17*$E$19/($E$12^2))/(5*COS(N$117*PI()/180)/(24*INDEX('Геом. характеристики швеллера'!$K$6:$K$41,MATCH('без учета бимомента,два тяжа'!$J125,'Геом. характеристики швеллера'!$A$6:$A$41,0)))+SIN(N$117*PI()/180)/(45*INDEX('Геом.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швеллера'!$A$6:$A$41,0))))</f>
        <v>478.08940649251559</v>
      </c>
      <c r="O125" s="53">
        <f>IF(((8*$E$17*$E$19/($E$12^2))/(COS(O$117*PI()/180)/(INDEX('Геом. характеристики швеллера'!$K$6:$K$41,MATCH('без учета бимомента,два тяжа'!$J125,'Геом. характеристики швеллера'!$A$6:$A$41,0)))+SIN(O$117*PI()/180)/(45*INDEX('Геом.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швеллера'!$A$6:$A$41,0)))&lt;((2*$E$17*$E$19/($E$12^2))/(5*COS(O$117*PI()/180)/(24*INDEX('Геом. характеристики швеллера'!$K$6:$K$41,MATCH('без учета бимомента,два тяжа'!$J125,'Геом. характеристики швеллера'!$A$6:$A$41,0)))+SIN(O$117*PI()/180)/(45*INDEX('Геом.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швеллера'!$A$6:$A$41,0))),((8*$E$17*$E$19/($E$12^2))/(COS(O$117*PI()/180)/(INDEX('Геом. характеристики швеллера'!$K$6:$K$41,MATCH('без учета бимомента,два тяжа'!$J125,'Геом. характеристики швеллера'!$A$6:$A$41,0)))+SIN(O$117*PI()/180)/(45*INDEX('Геом.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швеллера'!$A$6:$A$41,0))),((2*$E$17*$E$19/($E$12^2))/(5*COS(O$117*PI()/180)/(24*INDEX('Геом. характеристики швеллера'!$K$6:$K$41,MATCH('без учета бимомента,два тяжа'!$J125,'Геом. характеристики швеллера'!$A$6:$A$41,0)))+SIN(O$117*PI()/180)/(45*INDEX('Геом.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швеллера'!$A$6:$A$41,0))))</f>
        <v>485.39517056541735</v>
      </c>
      <c r="P125" s="53">
        <f>IF(((8*$E$17*$E$19/($E$12^2))/(COS(P$117*PI()/180)/(INDEX('Геом. характеристики швеллера'!$K$6:$K$41,MATCH('без учета бимомента,два тяжа'!$J125,'Геом. характеристики швеллера'!$A$6:$A$41,0)))+SIN(P$117*PI()/180)/(45*INDEX('Геом.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швеллера'!$A$6:$A$41,0)))&lt;((2*$E$17*$E$19/($E$12^2))/(5*COS(P$117*PI()/180)/(24*INDEX('Геом. характеристики швеллера'!$K$6:$K$41,MATCH('без учета бимомента,два тяжа'!$J125,'Геом. характеристики швеллера'!$A$6:$A$41,0)))+SIN(P$117*PI()/180)/(45*INDEX('Геом.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швеллера'!$A$6:$A$41,0))),((8*$E$17*$E$19/($E$12^2))/(COS(P$117*PI()/180)/(INDEX('Геом. характеристики швеллера'!$K$6:$K$41,MATCH('без учета бимомента,два тяжа'!$J125,'Геом. характеристики швеллера'!$A$6:$A$41,0)))+SIN(P$117*PI()/180)/(45*INDEX('Геом.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швеллера'!$A$6:$A$41,0))),((2*$E$17*$E$19/($E$12^2))/(5*COS(P$117*PI()/180)/(24*INDEX('Геом. характеристики швеллера'!$K$6:$K$41,MATCH('без учета бимомента,два тяжа'!$J125,'Геом. характеристики швеллера'!$A$6:$A$41,0)))+SIN(P$117*PI()/180)/(45*INDEX('Геом.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швеллера'!$A$6:$A$41,0))))</f>
        <v>483.49451971591753</v>
      </c>
      <c r="Q125" s="53">
        <f>IF(((8*$E$17*$E$19/($E$12^2))/(COS(Q$117*PI()/180)/(INDEX('Геом. характеристики швеллера'!$K$6:$K$41,MATCH('без учета бимомента,два тяжа'!$J125,'Геом. характеристики швеллера'!$A$6:$A$41,0)))+SIN(Q$117*PI()/180)/(45*INDEX('Геом.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швеллера'!$A$6:$A$41,0)))&lt;((2*$E$17*$E$19/($E$12^2))/(5*COS(Q$117*PI()/180)/(24*INDEX('Геом. характеристики швеллера'!$K$6:$K$41,MATCH('без учета бимомента,два тяжа'!$J125,'Геом. характеристики швеллера'!$A$6:$A$41,0)))+SIN(Q$117*PI()/180)/(45*INDEX('Геом.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швеллера'!$A$6:$A$41,0))),((8*$E$17*$E$19/($E$12^2))/(COS(Q$117*PI()/180)/(INDEX('Геом. характеристики швеллера'!$K$6:$K$41,MATCH('без учета бимомента,два тяжа'!$J125,'Геом. характеристики швеллера'!$A$6:$A$41,0)))+SIN(Q$117*PI()/180)/(45*INDEX('Геом.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швеллера'!$A$6:$A$41,0))),((2*$E$17*$E$19/($E$12^2))/(5*COS(Q$117*PI()/180)/(24*INDEX('Геом. характеристики швеллера'!$K$6:$K$41,MATCH('без учета бимомента,два тяжа'!$J125,'Геом. характеристики швеллера'!$A$6:$A$41,0)))+SIN(Q$117*PI()/180)/(45*INDEX('Геом. характеристики швеллера'!$O$6:$O$41,MATCH('без учета бимомента,два тяжа'!$J125,'Геом. характеристики швеллера'!$A$6:$A$41,0))))/10-INDEX('Геом. характеристики швеллера'!$I$6:$I$41,MATCH('без учета бимомента,два тяжа'!$J125,'Геом. характеристики швеллера'!$A$6:$A$41,0))))</f>
        <v>478.69461427908925</v>
      </c>
      <c r="R125" s="11"/>
      <c r="S125" s="11"/>
    </row>
    <row r="126" spans="1:19" ht="16.5" thickBot="1" x14ac:dyDescent="0.3">
      <c r="A126" s="2" t="s">
        <v>268</v>
      </c>
      <c r="I126" s="11"/>
      <c r="J126" s="40" t="s">
        <v>80</v>
      </c>
      <c r="K126" s="53">
        <f>IF(((8*$E$17*$E$19/($E$12^2))/(COS(K$117*PI()/180)/(INDEX('Геом. характеристики швеллера'!$K$6:$K$41,MATCH('без учета бимомента,два тяжа'!$J126,'Геом. характеристики швеллера'!$A$6:$A$41,0)))+SIN(K$117*PI()/180)/(45*INDEX('Геом.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швеллера'!$A$6:$A$41,0)))&lt;((2*$E$17*$E$19/($E$12^2))/(5*COS(K$117*PI()/180)/(24*INDEX('Геом. характеристики швеллера'!$K$6:$K$41,MATCH('без учета бимомента,два тяжа'!$J126,'Геом. характеристики швеллера'!$A$6:$A$41,0)))+SIN(K$117*PI()/180)/(45*INDEX('Геом.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швеллера'!$A$6:$A$41,0))),((8*$E$17*$E$19/($E$12^2))/(COS(K$117*PI()/180)/(INDEX('Геом. характеристики швеллера'!$K$6:$K$41,MATCH('без учета бимомента,два тяжа'!$J126,'Геом. характеристики швеллера'!$A$6:$A$41,0)))+SIN(K$117*PI()/180)/(45*INDEX('Геом.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швеллера'!$A$6:$A$41,0))),((2*$E$17*$E$19/($E$12^2))/(5*COS(K$117*PI()/180)/(24*INDEX('Геом. характеристики швеллера'!$K$6:$K$41,MATCH('без учета бимомента,два тяжа'!$J126,'Геом. характеристики швеллера'!$A$6:$A$41,0)))+SIN(K$117*PI()/180)/(45*INDEX('Геом.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швеллера'!$A$6:$A$41,0))))</f>
        <v>564.5</v>
      </c>
      <c r="L126" s="53">
        <f>IF(((8*$E$17*$E$19/($E$12^2))/(COS(L$117*PI()/180)/(INDEX('Геом. характеристики швеллера'!$K$6:$K$41,MATCH('без учета бимомента,два тяжа'!$J126,'Геом. характеристики швеллера'!$A$6:$A$41,0)))+SIN(L$117*PI()/180)/(45*INDEX('Геом.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швеллера'!$A$6:$A$41,0)))&lt;((2*$E$17*$E$19/($E$12^2))/(5*COS(L$117*PI()/180)/(24*INDEX('Геом. характеристики швеллера'!$K$6:$K$41,MATCH('без учета бимомента,два тяжа'!$J126,'Геом. характеристики швеллера'!$A$6:$A$41,0)))+SIN(L$117*PI()/180)/(45*INDEX('Геом.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швеллера'!$A$6:$A$41,0))),((8*$E$17*$E$19/($E$12^2))/(COS(L$117*PI()/180)/(INDEX('Геом. характеристики швеллера'!$K$6:$K$41,MATCH('без учета бимомента,два тяжа'!$J126,'Геом. характеристики швеллера'!$A$6:$A$41,0)))+SIN(L$117*PI()/180)/(45*INDEX('Геом.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швеллера'!$A$6:$A$41,0))),((2*$E$17*$E$19/($E$12^2))/(5*COS(L$117*PI()/180)/(24*INDEX('Геом. характеристики швеллера'!$K$6:$K$41,MATCH('без учета бимомента,два тяжа'!$J126,'Геом. характеристики швеллера'!$A$6:$A$41,0)))+SIN(L$117*PI()/180)/(45*INDEX('Геом.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швеллера'!$A$6:$A$41,0))))</f>
        <v>558.76082611849688</v>
      </c>
      <c r="M126" s="53">
        <f>IF(((8*$E$17*$E$19/($E$12^2))/(COS(M$117*PI()/180)/(INDEX('Геом. характеристики швеллера'!$K$6:$K$41,MATCH('без учета бимомента,два тяжа'!$J126,'Геом. характеристики швеллера'!$A$6:$A$41,0)))+SIN(M$117*PI()/180)/(45*INDEX('Геом.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швеллера'!$A$6:$A$41,0)))&lt;((2*$E$17*$E$19/($E$12^2))/(5*COS(M$117*PI()/180)/(24*INDEX('Геом. характеристики швеллера'!$K$6:$K$41,MATCH('без учета бимомента,два тяжа'!$J126,'Геом. характеристики швеллера'!$A$6:$A$41,0)))+SIN(M$117*PI()/180)/(45*INDEX('Геом.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швеллера'!$A$6:$A$41,0))),((8*$E$17*$E$19/($E$12^2))/(COS(M$117*PI()/180)/(INDEX('Геом. характеристики швеллера'!$K$6:$K$41,MATCH('без учета бимомента,два тяжа'!$J126,'Геом. характеристики швеллера'!$A$6:$A$41,0)))+SIN(M$117*PI()/180)/(45*INDEX('Геом.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швеллера'!$A$6:$A$41,0))),((2*$E$17*$E$19/($E$12^2))/(5*COS(M$117*PI()/180)/(24*INDEX('Геом. характеристики швеллера'!$K$6:$K$41,MATCH('без учета бимомента,два тяжа'!$J126,'Геом. характеристики швеллера'!$A$6:$A$41,0)))+SIN(M$117*PI()/180)/(45*INDEX('Геом.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швеллера'!$A$6:$A$41,0))))</f>
        <v>557.45788283462991</v>
      </c>
      <c r="N126" s="53">
        <f>IF(((8*$E$17*$E$19/($E$12^2))/(COS(N$117*PI()/180)/(INDEX('Геом. характеристики швеллера'!$K$6:$K$41,MATCH('без учета бимомента,два тяжа'!$J126,'Геом. характеристики швеллера'!$A$6:$A$41,0)))+SIN(N$117*PI()/180)/(45*INDEX('Геом.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швеллера'!$A$6:$A$41,0)))&lt;((2*$E$17*$E$19/($E$12^2))/(5*COS(N$117*PI()/180)/(24*INDEX('Геом. характеристики швеллера'!$K$6:$K$41,MATCH('без учета бимомента,два тяжа'!$J126,'Геом. характеристики швеллера'!$A$6:$A$41,0)))+SIN(N$117*PI()/180)/(45*INDEX('Геом.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швеллера'!$A$6:$A$41,0))),((8*$E$17*$E$19/($E$12^2))/(COS(N$117*PI()/180)/(INDEX('Геом. характеристики швеллера'!$K$6:$K$41,MATCH('без учета бимомента,два тяжа'!$J126,'Геом. характеристики швеллера'!$A$6:$A$41,0)))+SIN(N$117*PI()/180)/(45*INDEX('Геом.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швеллера'!$A$6:$A$41,0))),((2*$E$17*$E$19/($E$12^2))/(5*COS(N$117*PI()/180)/(24*INDEX('Геом. характеристики швеллера'!$K$6:$K$41,MATCH('без учета бимомента,два тяжа'!$J126,'Геом. характеристики швеллера'!$A$6:$A$41,0)))+SIN(N$117*PI()/180)/(45*INDEX('Геом.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швеллера'!$A$6:$A$41,0))))</f>
        <v>560.54101451792951</v>
      </c>
      <c r="O126" s="53">
        <f>IF(((8*$E$17*$E$19/($E$12^2))/(COS(O$117*PI()/180)/(INDEX('Геом. характеристики швеллера'!$K$6:$K$41,MATCH('без учета бимомента,два тяжа'!$J126,'Геом. характеристики швеллера'!$A$6:$A$41,0)))+SIN(O$117*PI()/180)/(45*INDEX('Геом.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швеллера'!$A$6:$A$41,0)))&lt;((2*$E$17*$E$19/($E$12^2))/(5*COS(O$117*PI()/180)/(24*INDEX('Геом. характеристики швеллера'!$K$6:$K$41,MATCH('без учета бимомента,два тяжа'!$J126,'Геом. характеристики швеллера'!$A$6:$A$41,0)))+SIN(O$117*PI()/180)/(45*INDEX('Геом.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швеллера'!$A$6:$A$41,0))),((8*$E$17*$E$19/($E$12^2))/(COS(O$117*PI()/180)/(INDEX('Геом. характеристики швеллера'!$K$6:$K$41,MATCH('без учета бимомента,два тяжа'!$J126,'Геом. характеристики швеллера'!$A$6:$A$41,0)))+SIN(O$117*PI()/180)/(45*INDEX('Геом.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швеллера'!$A$6:$A$41,0))),((2*$E$17*$E$19/($E$12^2))/(5*COS(O$117*PI()/180)/(24*INDEX('Геом. характеристики швеллера'!$K$6:$K$41,MATCH('без учета бимомента,два тяжа'!$J126,'Геом. характеристики швеллера'!$A$6:$A$41,0)))+SIN(O$117*PI()/180)/(45*INDEX('Геом.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швеллера'!$A$6:$A$41,0))))</f>
        <v>564.81008100720555</v>
      </c>
      <c r="P126" s="53">
        <f>IF(((8*$E$17*$E$19/($E$12^2))/(COS(P$117*PI()/180)/(INDEX('Геом. характеристики швеллера'!$K$6:$K$41,MATCH('без учета бимомента,два тяжа'!$J126,'Геом. характеристики швеллера'!$A$6:$A$41,0)))+SIN(P$117*PI()/180)/(45*INDEX('Геом.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швеллера'!$A$6:$A$41,0)))&lt;((2*$E$17*$E$19/($E$12^2))/(5*COS(P$117*PI()/180)/(24*INDEX('Геом. характеристики швеллера'!$K$6:$K$41,MATCH('без учета бимомента,два тяжа'!$J126,'Геом. характеристики швеллера'!$A$6:$A$41,0)))+SIN(P$117*PI()/180)/(45*INDEX('Геом.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швеллера'!$A$6:$A$41,0))),((8*$E$17*$E$19/($E$12^2))/(COS(P$117*PI()/180)/(INDEX('Геом. характеристики швеллера'!$K$6:$K$41,MATCH('без учета бимомента,два тяжа'!$J126,'Геом. характеристики швеллера'!$A$6:$A$41,0)))+SIN(P$117*PI()/180)/(45*INDEX('Геом.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швеллера'!$A$6:$A$41,0))),((2*$E$17*$E$19/($E$12^2))/(5*COS(P$117*PI()/180)/(24*INDEX('Геом. характеристики швеллера'!$K$6:$K$41,MATCH('без учета бимомента,два тяжа'!$J126,'Геом. характеристики швеллера'!$A$6:$A$41,0)))+SIN(P$117*PI()/180)/(45*INDEX('Геом.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швеллера'!$A$6:$A$41,0))))</f>
        <v>551.64263044996233</v>
      </c>
      <c r="Q126" s="53">
        <f>IF(((8*$E$17*$E$19/($E$12^2))/(COS(Q$117*PI()/180)/(INDEX('Геом. характеристики швеллера'!$K$6:$K$41,MATCH('без учета бимомента,два тяжа'!$J126,'Геом. характеристики швеллера'!$A$6:$A$41,0)))+SIN(Q$117*PI()/180)/(45*INDEX('Геом.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швеллера'!$A$6:$A$41,0)))&lt;((2*$E$17*$E$19/($E$12^2))/(5*COS(Q$117*PI()/180)/(24*INDEX('Геом. характеристики швеллера'!$K$6:$K$41,MATCH('без учета бимомента,два тяжа'!$J126,'Геом. характеристики швеллера'!$A$6:$A$41,0)))+SIN(Q$117*PI()/180)/(45*INDEX('Геом.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швеллера'!$A$6:$A$41,0))),((8*$E$17*$E$19/($E$12^2))/(COS(Q$117*PI()/180)/(INDEX('Геом. характеристики швеллера'!$K$6:$K$41,MATCH('без учета бимомента,два тяжа'!$J126,'Геом. характеристики швеллера'!$A$6:$A$41,0)))+SIN(Q$117*PI()/180)/(45*INDEX('Геом.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швеллера'!$A$6:$A$41,0))),((2*$E$17*$E$19/($E$12^2))/(5*COS(Q$117*PI()/180)/(24*INDEX('Геом. характеристики швеллера'!$K$6:$K$41,MATCH('без учета бимомента,два тяжа'!$J126,'Геом. характеристики швеллера'!$A$6:$A$41,0)))+SIN(Q$117*PI()/180)/(45*INDEX('Геом. характеристики швеллера'!$O$6:$O$41,MATCH('без учета бимомента,два тяжа'!$J126,'Геом. характеристики швеллера'!$A$6:$A$41,0))))/10-INDEX('Геом. характеристики швеллера'!$I$6:$I$41,MATCH('без учета бимомента,два тяжа'!$J126,'Геом. характеристики швеллера'!$A$6:$A$41,0))))</f>
        <v>543.22263776065893</v>
      </c>
      <c r="R126" s="11"/>
      <c r="S126" s="11"/>
    </row>
    <row r="127" spans="1:19" ht="16.5" thickBot="1" x14ac:dyDescent="0.3">
      <c r="I127" s="11"/>
      <c r="J127" s="40" t="s">
        <v>81</v>
      </c>
      <c r="K127" s="53">
        <f>IF(((8*$E$17*$E$19/($E$12^2))/(COS(K$117*PI()/180)/(INDEX('Геом. характеристики швеллера'!$K$6:$K$41,MATCH('без учета бимомента,два тяжа'!$J127,'Геом. характеристики швеллера'!$A$6:$A$41,0)))+SIN(K$117*PI()/180)/(45*INDEX('Геом.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швеллера'!$A$6:$A$41,0)))&lt;((2*$E$17*$E$19/($E$12^2))/(5*COS(K$117*PI()/180)/(24*INDEX('Геом. характеристики швеллера'!$K$6:$K$41,MATCH('без учета бимомента,два тяжа'!$J127,'Геом. характеристики швеллера'!$A$6:$A$41,0)))+SIN(K$117*PI()/180)/(45*INDEX('Геом.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швеллера'!$A$6:$A$41,0))),((8*$E$17*$E$19/($E$12^2))/(COS(K$117*PI()/180)/(INDEX('Геом. характеристики швеллера'!$K$6:$K$41,MATCH('без учета бимомента,два тяжа'!$J127,'Геом. характеристики швеллера'!$A$6:$A$41,0)))+SIN(K$117*PI()/180)/(45*INDEX('Геом.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швеллера'!$A$6:$A$41,0))),((2*$E$17*$E$19/($E$12^2))/(5*COS(K$117*PI()/180)/(24*INDEX('Геом. характеристики швеллера'!$K$6:$K$41,MATCH('без учета бимомента,два тяжа'!$J127,'Геом. характеристики швеллера'!$A$6:$A$41,0)))+SIN(K$117*PI()/180)/(45*INDEX('Геом.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швеллера'!$A$6:$A$41,0))))</f>
        <v>616.20000000000005</v>
      </c>
      <c r="L127" s="53">
        <f>IF(((8*$E$17*$E$19/($E$12^2))/(COS(L$117*PI()/180)/(INDEX('Геом. характеристики швеллера'!$K$6:$K$41,MATCH('без учета бимомента,два тяжа'!$J127,'Геом. характеристики швеллера'!$A$6:$A$41,0)))+SIN(L$117*PI()/180)/(45*INDEX('Геом.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швеллера'!$A$6:$A$41,0)))&lt;((2*$E$17*$E$19/($E$12^2))/(5*COS(L$117*PI()/180)/(24*INDEX('Геом. характеристики швеллера'!$K$6:$K$41,MATCH('без учета бимомента,два тяжа'!$J127,'Геом. характеристики швеллера'!$A$6:$A$41,0)))+SIN(L$117*PI()/180)/(45*INDEX('Геом.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швеллера'!$A$6:$A$41,0))),((8*$E$17*$E$19/($E$12^2))/(COS(L$117*PI()/180)/(INDEX('Геом. характеристики швеллера'!$K$6:$K$41,MATCH('без учета бимомента,два тяжа'!$J127,'Геом. характеристики швеллера'!$A$6:$A$41,0)))+SIN(L$117*PI()/180)/(45*INDEX('Геом.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швеллера'!$A$6:$A$41,0))),((2*$E$17*$E$19/($E$12^2))/(5*COS(L$117*PI()/180)/(24*INDEX('Геом. характеристики швеллера'!$K$6:$K$41,MATCH('без учета бимомента,два тяжа'!$J127,'Геом. характеристики швеллера'!$A$6:$A$41,0)))+SIN(L$117*PI()/180)/(45*INDEX('Геом.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швеллера'!$A$6:$A$41,0))))</f>
        <v>610.56244183299964</v>
      </c>
      <c r="M127" s="53">
        <f>IF(((8*$E$17*$E$19/($E$12^2))/(COS(M$117*PI()/180)/(INDEX('Геом. характеристики швеллера'!$K$6:$K$41,MATCH('без учета бимомента,два тяжа'!$J127,'Геом. характеристики швеллера'!$A$6:$A$41,0)))+SIN(M$117*PI()/180)/(45*INDEX('Геом.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швеллера'!$A$6:$A$41,0)))&lt;((2*$E$17*$E$19/($E$12^2))/(5*COS(M$117*PI()/180)/(24*INDEX('Геом. характеристики швеллера'!$K$6:$K$41,MATCH('без учета бимомента,два тяжа'!$J127,'Геом. характеристики швеллера'!$A$6:$A$41,0)))+SIN(M$117*PI()/180)/(45*INDEX('Геом.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швеллера'!$A$6:$A$41,0))),((8*$E$17*$E$19/($E$12^2))/(COS(M$117*PI()/180)/(INDEX('Геом. характеристики швеллера'!$K$6:$K$41,MATCH('без учета бимомента,два тяжа'!$J127,'Геом. характеристики швеллера'!$A$6:$A$41,0)))+SIN(M$117*PI()/180)/(45*INDEX('Геом.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швеллера'!$A$6:$A$41,0))),((2*$E$17*$E$19/($E$12^2))/(5*COS(M$117*PI()/180)/(24*INDEX('Геом. характеристики швеллера'!$K$6:$K$41,MATCH('без учета бимомента,два тяжа'!$J127,'Геом. характеристики швеллера'!$A$6:$A$41,0)))+SIN(M$117*PI()/180)/(45*INDEX('Геом.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швеллера'!$A$6:$A$41,0))))</f>
        <v>609.7552569985163</v>
      </c>
      <c r="N127" s="53">
        <f>IF(((8*$E$17*$E$19/($E$12^2))/(COS(N$117*PI()/180)/(INDEX('Геом. характеристики швеллера'!$K$6:$K$41,MATCH('без учета бимомента,два тяжа'!$J127,'Геом. характеристики швеллера'!$A$6:$A$41,0)))+SIN(N$117*PI()/180)/(45*INDEX('Геом.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швеллера'!$A$6:$A$41,0)))&lt;((2*$E$17*$E$19/($E$12^2))/(5*COS(N$117*PI()/180)/(24*INDEX('Геом. характеристики швеллера'!$K$6:$K$41,MATCH('без учета бимомента,два тяжа'!$J127,'Геом. характеристики швеллера'!$A$6:$A$41,0)))+SIN(N$117*PI()/180)/(45*INDEX('Геом.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швеллера'!$A$6:$A$41,0))),((8*$E$17*$E$19/($E$12^2))/(COS(N$117*PI()/180)/(INDEX('Геом. характеристики швеллера'!$K$6:$K$41,MATCH('без учета бимомента,два тяжа'!$J127,'Геом. характеристики швеллера'!$A$6:$A$41,0)))+SIN(N$117*PI()/180)/(45*INDEX('Геом.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швеллера'!$A$6:$A$41,0))),((2*$E$17*$E$19/($E$12^2))/(5*COS(N$117*PI()/180)/(24*INDEX('Геом. характеристики швеллера'!$K$6:$K$41,MATCH('без учета бимомента,два тяжа'!$J127,'Геом. характеристики швеллера'!$A$6:$A$41,0)))+SIN(N$117*PI()/180)/(45*INDEX('Геом.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швеллера'!$A$6:$A$41,0))))</f>
        <v>613.74739096316853</v>
      </c>
      <c r="O127" s="53">
        <f>IF(((8*$E$17*$E$19/($E$12^2))/(COS(O$117*PI()/180)/(INDEX('Геом. характеристики швеллера'!$K$6:$K$41,MATCH('без учета бимомента,два тяжа'!$J127,'Геом. характеристики швеллера'!$A$6:$A$41,0)))+SIN(O$117*PI()/180)/(45*INDEX('Геом.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швеллера'!$A$6:$A$41,0)))&lt;((2*$E$17*$E$19/($E$12^2))/(5*COS(O$117*PI()/180)/(24*INDEX('Геом. характеристики швеллера'!$K$6:$K$41,MATCH('без учета бимомента,два тяжа'!$J127,'Геом. характеристики швеллера'!$A$6:$A$41,0)))+SIN(O$117*PI()/180)/(45*INDEX('Геом.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швеллера'!$A$6:$A$41,0))),((8*$E$17*$E$19/($E$12^2))/(COS(O$117*PI()/180)/(INDEX('Геом. характеристики швеллера'!$K$6:$K$41,MATCH('без учета бимомента,два тяжа'!$J127,'Геом. характеристики швеллера'!$A$6:$A$41,0)))+SIN(O$117*PI()/180)/(45*INDEX('Геом.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швеллера'!$A$6:$A$41,0))),((2*$E$17*$E$19/($E$12^2))/(5*COS(O$117*PI()/180)/(24*INDEX('Геом. характеристики швеллера'!$K$6:$K$41,MATCH('без учета бимомента,два тяжа'!$J127,'Геом. характеристики швеллера'!$A$6:$A$41,0)))+SIN(O$117*PI()/180)/(45*INDEX('Геом.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швеллера'!$A$6:$A$41,0))))</f>
        <v>622.69337918834208</v>
      </c>
      <c r="P127" s="53">
        <f>IF(((8*$E$17*$E$19/($E$12^2))/(COS(P$117*PI()/180)/(INDEX('Геом. характеристики швеллера'!$K$6:$K$41,MATCH('без учета бимомента,два тяжа'!$J127,'Геом. характеристики швеллера'!$A$6:$A$41,0)))+SIN(P$117*PI()/180)/(45*INDEX('Геом.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швеллера'!$A$6:$A$41,0)))&lt;((2*$E$17*$E$19/($E$12^2))/(5*COS(P$117*PI()/180)/(24*INDEX('Геом. характеристики швеллера'!$K$6:$K$41,MATCH('без учета бимомента,два тяжа'!$J127,'Геом. характеристики швеллера'!$A$6:$A$41,0)))+SIN(P$117*PI()/180)/(45*INDEX('Геом.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швеллера'!$A$6:$A$41,0))),((8*$E$17*$E$19/($E$12^2))/(COS(P$117*PI()/180)/(INDEX('Геом. характеристики швеллера'!$K$6:$K$41,MATCH('без учета бимомента,два тяжа'!$J127,'Геом. характеристики швеллера'!$A$6:$A$41,0)))+SIN(P$117*PI()/180)/(45*INDEX('Геом.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швеллера'!$A$6:$A$41,0))),((2*$E$17*$E$19/($E$12^2))/(5*COS(P$117*PI()/180)/(24*INDEX('Геом. характеристики швеллера'!$K$6:$K$41,MATCH('без учета бимомента,два тяжа'!$J127,'Геом. характеристики швеллера'!$A$6:$A$41,0)))+SIN(P$117*PI()/180)/(45*INDEX('Геом.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швеллера'!$A$6:$A$41,0))))</f>
        <v>614.18364641806068</v>
      </c>
      <c r="Q127" s="53">
        <f>IF(((8*$E$17*$E$19/($E$12^2))/(COS(Q$117*PI()/180)/(INDEX('Геом. характеристики швеллера'!$K$6:$K$41,MATCH('без учета бимомента,два тяжа'!$J127,'Геом. характеристики швеллера'!$A$6:$A$41,0)))+SIN(Q$117*PI()/180)/(45*INDEX('Геом.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швеллера'!$A$6:$A$41,0)))&lt;((2*$E$17*$E$19/($E$12^2))/(5*COS(Q$117*PI()/180)/(24*INDEX('Геом. характеристики швеллера'!$K$6:$K$41,MATCH('без учета бимомента,два тяжа'!$J127,'Геом. характеристики швеллера'!$A$6:$A$41,0)))+SIN(Q$117*PI()/180)/(45*INDEX('Геом.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швеллера'!$A$6:$A$41,0))),((8*$E$17*$E$19/($E$12^2))/(COS(Q$117*PI()/180)/(INDEX('Геом. характеристики швеллера'!$K$6:$K$41,MATCH('без учета бимомента,два тяжа'!$J127,'Геом. характеристики швеллера'!$A$6:$A$41,0)))+SIN(Q$117*PI()/180)/(45*INDEX('Геом.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швеллера'!$A$6:$A$41,0))),((2*$E$17*$E$19/($E$12^2))/(5*COS(Q$117*PI()/180)/(24*INDEX('Геом. характеристики швеллера'!$K$6:$K$41,MATCH('без учета бимомента,два тяжа'!$J127,'Геом. характеристики швеллера'!$A$6:$A$41,0)))+SIN(Q$117*PI()/180)/(45*INDEX('Геом. характеристики швеллера'!$O$6:$O$41,MATCH('без учета бимомента,два тяжа'!$J127,'Геом. характеристики швеллера'!$A$6:$A$41,0))))/10-INDEX('Геом. характеристики швеллера'!$I$6:$I$41,MATCH('без учета бимомента,два тяжа'!$J127,'Геом. характеристики швеллера'!$A$6:$A$41,0))))</f>
        <v>606.82343379511201</v>
      </c>
      <c r="R127" s="11"/>
      <c r="S127" s="11"/>
    </row>
    <row r="128" spans="1:19" ht="16.5" thickBot="1" x14ac:dyDescent="0.3">
      <c r="A128" s="2" t="s">
        <v>269</v>
      </c>
      <c r="I128" s="11"/>
      <c r="J128" s="40" t="s">
        <v>82</v>
      </c>
      <c r="K128" s="53">
        <f>IF(((8*$E$17*$E$19/($E$12^2))/(COS(K$117*PI()/180)/(INDEX('Геом. характеристики швеллера'!$K$6:$K$41,MATCH('без учета бимомента,два тяжа'!$J128,'Геом. характеристики швеллера'!$A$6:$A$41,0)))+SIN(K$117*PI()/180)/(45*INDEX('Геом.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швеллера'!$A$6:$A$41,0)))&lt;((2*$E$17*$E$19/($E$12^2))/(5*COS(K$117*PI()/180)/(24*INDEX('Геом. характеристики швеллера'!$K$6:$K$41,MATCH('без учета бимомента,два тяжа'!$J128,'Геом. характеристики швеллера'!$A$6:$A$41,0)))+SIN(K$117*PI()/180)/(45*INDEX('Геом.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швеллера'!$A$6:$A$41,0))),((8*$E$17*$E$19/($E$12^2))/(COS(K$117*PI()/180)/(INDEX('Геом. характеристики швеллера'!$K$6:$K$41,MATCH('без учета бимомента,два тяжа'!$J128,'Геом. характеристики швеллера'!$A$6:$A$41,0)))+SIN(K$117*PI()/180)/(45*INDEX('Геом.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швеллера'!$A$6:$A$41,0))),((2*$E$17*$E$19/($E$12^2))/(5*COS(K$117*PI()/180)/(24*INDEX('Геом. характеристики швеллера'!$K$6:$K$41,MATCH('без учета бимомента,два тяжа'!$J128,'Геом. характеристики швеллера'!$A$6:$A$41,0)))+SIN(K$117*PI()/180)/(45*INDEX('Геом.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швеллера'!$A$6:$A$41,0))))</f>
        <v>711.2</v>
      </c>
      <c r="L128" s="53">
        <f>IF(((8*$E$17*$E$19/($E$12^2))/(COS(L$117*PI()/180)/(INDEX('Геом. характеристики швеллера'!$K$6:$K$41,MATCH('без учета бимомента,два тяжа'!$J128,'Геом. характеристики швеллера'!$A$6:$A$41,0)))+SIN(L$117*PI()/180)/(45*INDEX('Геом.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швеллера'!$A$6:$A$41,0)))&lt;((2*$E$17*$E$19/($E$12^2))/(5*COS(L$117*PI()/180)/(24*INDEX('Геом. характеристики швеллера'!$K$6:$K$41,MATCH('без учета бимомента,два тяжа'!$J128,'Геом. характеристики швеллера'!$A$6:$A$41,0)))+SIN(L$117*PI()/180)/(45*INDEX('Геом.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швеллера'!$A$6:$A$41,0))),((8*$E$17*$E$19/($E$12^2))/(COS(L$117*PI()/180)/(INDEX('Геом. характеристики швеллера'!$K$6:$K$41,MATCH('без учета бимомента,два тяжа'!$J128,'Геом. характеристики швеллера'!$A$6:$A$41,0)))+SIN(L$117*PI()/180)/(45*INDEX('Геом.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швеллера'!$A$6:$A$41,0))),((2*$E$17*$E$19/($E$12^2))/(5*COS(L$117*PI()/180)/(24*INDEX('Геом. характеристики швеллера'!$K$6:$K$41,MATCH('без учета бимомента,два тяжа'!$J128,'Геом. характеристики швеллера'!$A$6:$A$41,0)))+SIN(L$117*PI()/180)/(45*INDEX('Геом.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швеллера'!$A$6:$A$41,0))))</f>
        <v>703.57927832002542</v>
      </c>
      <c r="M128" s="53">
        <f>IF(((8*$E$17*$E$19/($E$12^2))/(COS(M$117*PI()/180)/(INDEX('Геом. характеристики швеллера'!$K$6:$K$41,MATCH('без учета бимомента,два тяжа'!$J128,'Геом. характеристики швеллера'!$A$6:$A$41,0)))+SIN(M$117*PI()/180)/(45*INDEX('Геом.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швеллера'!$A$6:$A$41,0)))&lt;((2*$E$17*$E$19/($E$12^2))/(5*COS(M$117*PI()/180)/(24*INDEX('Геом. характеристики швеллера'!$K$6:$K$41,MATCH('без учета бимомента,два тяжа'!$J128,'Геом. характеристики швеллера'!$A$6:$A$41,0)))+SIN(M$117*PI()/180)/(45*INDEX('Геом.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швеллера'!$A$6:$A$41,0))),((8*$E$17*$E$19/($E$12^2))/(COS(M$117*PI()/180)/(INDEX('Геом. характеристики швеллера'!$K$6:$K$41,MATCH('без учета бимомента,два тяжа'!$J128,'Геом. характеристики швеллера'!$A$6:$A$41,0)))+SIN(M$117*PI()/180)/(45*INDEX('Геом.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швеллера'!$A$6:$A$41,0))),((2*$E$17*$E$19/($E$12^2))/(5*COS(M$117*PI()/180)/(24*INDEX('Геом. характеристики швеллера'!$K$6:$K$41,MATCH('без учета бимомента,два тяжа'!$J128,'Геом. характеристики швеллера'!$A$6:$A$41,0)))+SIN(M$117*PI()/180)/(45*INDEX('Геом.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швеллера'!$A$6:$A$41,0))))</f>
        <v>701.53863797010274</v>
      </c>
      <c r="N128" s="53">
        <f>IF(((8*$E$17*$E$19/($E$12^2))/(COS(N$117*PI()/180)/(INDEX('Геом. характеристики швеллера'!$K$6:$K$41,MATCH('без учета бимомента,два тяжа'!$J128,'Геом. характеристики швеллера'!$A$6:$A$41,0)))+SIN(N$117*PI()/180)/(45*INDEX('Геом.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швеллера'!$A$6:$A$41,0)))&lt;((2*$E$17*$E$19/($E$12^2))/(5*COS(N$117*PI()/180)/(24*INDEX('Геом. характеристики швеллера'!$K$6:$K$41,MATCH('без учета бимомента,два тяжа'!$J128,'Геом. характеристики швеллера'!$A$6:$A$41,0)))+SIN(N$117*PI()/180)/(45*INDEX('Геом.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швеллера'!$A$6:$A$41,0))),((8*$E$17*$E$19/($E$12^2))/(COS(N$117*PI()/180)/(INDEX('Геом. характеристики швеллера'!$K$6:$K$41,MATCH('без учета бимомента,два тяжа'!$J128,'Геом. характеристики швеллера'!$A$6:$A$41,0)))+SIN(N$117*PI()/180)/(45*INDEX('Геом.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швеллера'!$A$6:$A$41,0))),((2*$E$17*$E$19/($E$12^2))/(5*COS(N$117*PI()/180)/(24*INDEX('Геом. характеристики швеллера'!$K$6:$K$41,MATCH('без учета бимомента,два тяжа'!$J128,'Геом. характеристики швеллера'!$A$6:$A$41,0)))+SIN(N$117*PI()/180)/(45*INDEX('Геом.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швеллера'!$A$6:$A$41,0))))</f>
        <v>704.99949038017974</v>
      </c>
      <c r="O128" s="53">
        <f>IF(((8*$E$17*$E$19/($E$12^2))/(COS(O$117*PI()/180)/(INDEX('Геом. характеристики швеллера'!$K$6:$K$41,MATCH('без учета бимомента,два тяжа'!$J128,'Геом. характеристики швеллера'!$A$6:$A$41,0)))+SIN(O$117*PI()/180)/(45*INDEX('Геом.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швеллера'!$A$6:$A$41,0)))&lt;((2*$E$17*$E$19/($E$12^2))/(5*COS(O$117*PI()/180)/(24*INDEX('Геом. характеристики швеллера'!$K$6:$K$41,MATCH('без учета бимомента,два тяжа'!$J128,'Геом. характеристики швеллера'!$A$6:$A$41,0)))+SIN(O$117*PI()/180)/(45*INDEX('Геом.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швеллера'!$A$6:$A$41,0))),((8*$E$17*$E$19/($E$12^2))/(COS(O$117*PI()/180)/(INDEX('Геом. характеристики швеллера'!$K$6:$K$41,MATCH('без учета бимомента,два тяжа'!$J128,'Геом. характеристики швеллера'!$A$6:$A$41,0)))+SIN(O$117*PI()/180)/(45*INDEX('Геом.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швеллера'!$A$6:$A$41,0))),((2*$E$17*$E$19/($E$12^2))/(5*COS(O$117*PI()/180)/(24*INDEX('Геом. характеристики швеллера'!$K$6:$K$41,MATCH('без учета бимомента,два тяжа'!$J128,'Геом. характеристики швеллера'!$A$6:$A$41,0)))+SIN(O$117*PI()/180)/(45*INDEX('Геом.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швеллера'!$A$6:$A$41,0))))</f>
        <v>705.05401357532548</v>
      </c>
      <c r="P128" s="53">
        <f>IF(((8*$E$17*$E$19/($E$12^2))/(COS(P$117*PI()/180)/(INDEX('Геом. характеристики швеллера'!$K$6:$K$41,MATCH('без учета бимомента,два тяжа'!$J128,'Геом. характеристики швеллера'!$A$6:$A$41,0)))+SIN(P$117*PI()/180)/(45*INDEX('Геом.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швеллера'!$A$6:$A$41,0)))&lt;((2*$E$17*$E$19/($E$12^2))/(5*COS(P$117*PI()/180)/(24*INDEX('Геом. характеристики швеллера'!$K$6:$K$41,MATCH('без учета бимомента,два тяжа'!$J128,'Геом. характеристики швеллера'!$A$6:$A$41,0)))+SIN(P$117*PI()/180)/(45*INDEX('Геом.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швеллера'!$A$6:$A$41,0))),((8*$E$17*$E$19/($E$12^2))/(COS(P$117*PI()/180)/(INDEX('Геом. характеристики швеллера'!$K$6:$K$41,MATCH('без учета бимомента,два тяжа'!$J128,'Геом. характеристики швеллера'!$A$6:$A$41,0)))+SIN(P$117*PI()/180)/(45*INDEX('Геом.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швеллера'!$A$6:$A$41,0))),((2*$E$17*$E$19/($E$12^2))/(5*COS(P$117*PI()/180)/(24*INDEX('Геом. характеристики швеллера'!$K$6:$K$41,MATCH('без учета бимомента,два тяжа'!$J128,'Геом. характеристики швеллера'!$A$6:$A$41,0)))+SIN(P$117*PI()/180)/(45*INDEX('Геом.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швеллера'!$A$6:$A$41,0))))</f>
        <v>687.34911167015105</v>
      </c>
      <c r="Q128" s="53">
        <f>IF(((8*$E$17*$E$19/($E$12^2))/(COS(Q$117*PI()/180)/(INDEX('Геом. характеристики швеллера'!$K$6:$K$41,MATCH('без учета бимомента,два тяжа'!$J128,'Геом. характеристики швеллера'!$A$6:$A$41,0)))+SIN(Q$117*PI()/180)/(45*INDEX('Геом.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швеллера'!$A$6:$A$41,0)))&lt;((2*$E$17*$E$19/($E$12^2))/(5*COS(Q$117*PI()/180)/(24*INDEX('Геом. характеристики швеллера'!$K$6:$K$41,MATCH('без учета бимомента,два тяжа'!$J128,'Геом. характеристики швеллера'!$A$6:$A$41,0)))+SIN(Q$117*PI()/180)/(45*INDEX('Геом.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швеллера'!$A$6:$A$41,0))),((8*$E$17*$E$19/($E$12^2))/(COS(Q$117*PI()/180)/(INDEX('Геом. характеристики швеллера'!$K$6:$K$41,MATCH('без учета бимомента,два тяжа'!$J128,'Геом. характеристики швеллера'!$A$6:$A$41,0)))+SIN(Q$117*PI()/180)/(45*INDEX('Геом.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швеллера'!$A$6:$A$41,0))),((2*$E$17*$E$19/($E$12^2))/(5*COS(Q$117*PI()/180)/(24*INDEX('Геом. характеристики швеллера'!$K$6:$K$41,MATCH('без учета бимомента,два тяжа'!$J128,'Геом. характеристики швеллера'!$A$6:$A$41,0)))+SIN(Q$117*PI()/180)/(45*INDEX('Геом. характеристики швеллера'!$O$6:$O$41,MATCH('без учета бимомента,два тяжа'!$J128,'Геом. характеристики швеллера'!$A$6:$A$41,0))))/10-INDEX('Геом. характеристики швеллера'!$I$6:$I$41,MATCH('без учета бимомента,два тяжа'!$J128,'Геом. характеристики швеллера'!$A$6:$A$41,0))))</f>
        <v>675.64601334366546</v>
      </c>
      <c r="R128" s="11"/>
      <c r="S128" s="11"/>
    </row>
    <row r="129" spans="1:19" ht="16.5" thickBot="1" x14ac:dyDescent="0.3">
      <c r="I129" s="11"/>
      <c r="J129" s="40" t="s">
        <v>83</v>
      </c>
      <c r="K129" s="53">
        <f>IF(((8*$E$17*$E$19/($E$12^2))/(COS(K$117*PI()/180)/(INDEX('Геом. характеристики швеллера'!$K$6:$K$41,MATCH('без учета бимомента,два тяжа'!$J129,'Геом. характеристики швеллера'!$A$6:$A$41,0)))+SIN(K$117*PI()/180)/(45*INDEX('Геом.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швеллера'!$A$6:$A$41,0)))&lt;((2*$E$17*$E$19/($E$12^2))/(5*COS(K$117*PI()/180)/(24*INDEX('Геом. характеристики швеллера'!$K$6:$K$41,MATCH('без учета бимомента,два тяжа'!$J129,'Геом. характеристики швеллера'!$A$6:$A$41,0)))+SIN(K$117*PI()/180)/(45*INDEX('Геом.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швеллера'!$A$6:$A$41,0))),((8*$E$17*$E$19/($E$12^2))/(COS(K$117*PI()/180)/(INDEX('Геом. характеристики швеллера'!$K$6:$K$41,MATCH('без учета бимомента,два тяжа'!$J129,'Геом. характеристики швеллера'!$A$6:$A$41,0)))+SIN(K$117*PI()/180)/(45*INDEX('Геом.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швеллера'!$A$6:$A$41,0))),((2*$E$17*$E$19/($E$12^2))/(5*COS(K$117*PI()/180)/(24*INDEX('Геом. характеристики швеллера'!$K$6:$K$41,MATCH('без учета бимомента,два тяжа'!$J129,'Геом. характеристики швеллера'!$A$6:$A$41,0)))+SIN(K$117*PI()/180)/(45*INDEX('Геом.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швеллера'!$A$6:$A$41,0))))</f>
        <v>900.6</v>
      </c>
      <c r="L129" s="53">
        <f>IF(((8*$E$17*$E$19/($E$12^2))/(COS(L$117*PI()/180)/(INDEX('Геом. характеристики швеллера'!$K$6:$K$41,MATCH('без учета бимомента,два тяжа'!$J129,'Геом. характеристики швеллера'!$A$6:$A$41,0)))+SIN(L$117*PI()/180)/(45*INDEX('Геом.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швеллера'!$A$6:$A$41,0)))&lt;((2*$E$17*$E$19/($E$12^2))/(5*COS(L$117*PI()/180)/(24*INDEX('Геом. характеристики швеллера'!$K$6:$K$41,MATCH('без учета бимомента,два тяжа'!$J129,'Геом. характеристики швеллера'!$A$6:$A$41,0)))+SIN(L$117*PI()/180)/(45*INDEX('Геом.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швеллера'!$A$6:$A$41,0))),((8*$E$17*$E$19/($E$12^2))/(COS(L$117*PI()/180)/(INDEX('Геом. характеристики швеллера'!$K$6:$K$41,MATCH('без учета бимомента,два тяжа'!$J129,'Геом. характеристики швеллера'!$A$6:$A$41,0)))+SIN(L$117*PI()/180)/(45*INDEX('Геом.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швеллера'!$A$6:$A$41,0))),((2*$E$17*$E$19/($E$12^2))/(5*COS(L$117*PI()/180)/(24*INDEX('Геом. характеристики швеллера'!$K$6:$K$41,MATCH('без учета бимомента,два тяжа'!$J129,'Геом. характеристики швеллера'!$A$6:$A$41,0)))+SIN(L$117*PI()/180)/(45*INDEX('Геом.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швеллера'!$A$6:$A$41,0))))</f>
        <v>890.56366859237426</v>
      </c>
      <c r="M129" s="53">
        <f>IF(((8*$E$17*$E$19/($E$12^2))/(COS(M$117*PI()/180)/(INDEX('Геом. характеристики швеллера'!$K$6:$K$41,MATCH('без учета бимомента,два тяжа'!$J129,'Геом. характеристики швеллера'!$A$6:$A$41,0)))+SIN(M$117*PI()/180)/(45*INDEX('Геом.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швеллера'!$A$6:$A$41,0)))&lt;((2*$E$17*$E$19/($E$12^2))/(5*COS(M$117*PI()/180)/(24*INDEX('Геом. характеристики швеллера'!$K$6:$K$41,MATCH('без учета бимомента,два тяжа'!$J129,'Геом. характеристики швеллера'!$A$6:$A$41,0)))+SIN(M$117*PI()/180)/(45*INDEX('Геом.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швеллера'!$A$6:$A$41,0))),((8*$E$17*$E$19/($E$12^2))/(COS(M$117*PI()/180)/(INDEX('Геом. характеристики швеллера'!$K$6:$K$41,MATCH('без учета бимомента,два тяжа'!$J129,'Геом. характеристики швеллера'!$A$6:$A$41,0)))+SIN(M$117*PI()/180)/(45*INDEX('Геом.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швеллера'!$A$6:$A$41,0))),((2*$E$17*$E$19/($E$12^2))/(5*COS(M$117*PI()/180)/(24*INDEX('Геом. характеристики швеллера'!$K$6:$K$41,MATCH('без учета бимомента,два тяжа'!$J129,'Геом. характеристики швеллера'!$A$6:$A$41,0)))+SIN(M$117*PI()/180)/(45*INDEX('Геом.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швеллера'!$A$6:$A$41,0))))</f>
        <v>887.5839559441954</v>
      </c>
      <c r="N129" s="53">
        <f>IF(((8*$E$17*$E$19/($E$12^2))/(COS(N$117*PI()/180)/(INDEX('Геом. характеристики швеллера'!$K$6:$K$41,MATCH('без учета бимомента,два тяжа'!$J129,'Геом. характеристики швеллера'!$A$6:$A$41,0)))+SIN(N$117*PI()/180)/(45*INDEX('Геом.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швеллера'!$A$6:$A$41,0)))&lt;((2*$E$17*$E$19/($E$12^2))/(5*COS(N$117*PI()/180)/(24*INDEX('Геом. характеристики швеллера'!$K$6:$K$41,MATCH('без учета бимомента,два тяжа'!$J129,'Геом. характеристики швеллера'!$A$6:$A$41,0)))+SIN(N$117*PI()/180)/(45*INDEX('Геом.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швеллера'!$A$6:$A$41,0))),((8*$E$17*$E$19/($E$12^2))/(COS(N$117*PI()/180)/(INDEX('Геом. характеристики швеллера'!$K$6:$K$41,MATCH('без учета бимомента,два тяжа'!$J129,'Геом. характеристики швеллера'!$A$6:$A$41,0)))+SIN(N$117*PI()/180)/(45*INDEX('Геом.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швеллера'!$A$6:$A$41,0))),((2*$E$17*$E$19/($E$12^2))/(5*COS(N$117*PI()/180)/(24*INDEX('Геом. характеристики швеллера'!$K$6:$K$41,MATCH('без учета бимомента,два тяжа'!$J129,'Геом. характеристики швеллера'!$A$6:$A$41,0)))+SIN(N$117*PI()/180)/(45*INDEX('Геом.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швеллера'!$A$6:$A$41,0))))</f>
        <v>891.54605858299715</v>
      </c>
      <c r="O129" s="53">
        <f>IF(((8*$E$17*$E$19/($E$12^2))/(COS(O$117*PI()/180)/(INDEX('Геом. характеристики швеллера'!$K$6:$K$41,MATCH('без учета бимомента,два тяжа'!$J129,'Геом. характеристики швеллера'!$A$6:$A$41,0)))+SIN(O$117*PI()/180)/(45*INDEX('Геом.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швеллера'!$A$6:$A$41,0)))&lt;((2*$E$17*$E$19/($E$12^2))/(5*COS(O$117*PI()/180)/(24*INDEX('Геом. характеристики швеллера'!$K$6:$K$41,MATCH('без учета бимомента,два тяжа'!$J129,'Геом. характеристики швеллера'!$A$6:$A$41,0)))+SIN(O$117*PI()/180)/(45*INDEX('Геом.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швеллера'!$A$6:$A$41,0))),((8*$E$17*$E$19/($E$12^2))/(COS(O$117*PI()/180)/(INDEX('Геом. характеристики швеллера'!$K$6:$K$41,MATCH('без учета бимомента,два тяжа'!$J129,'Геом. характеристики швеллера'!$A$6:$A$41,0)))+SIN(O$117*PI()/180)/(45*INDEX('Геом.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швеллера'!$A$6:$A$41,0))),((2*$E$17*$E$19/($E$12^2))/(5*COS(O$117*PI()/180)/(24*INDEX('Геом. характеристики швеллера'!$K$6:$K$41,MATCH('без учета бимомента,два тяжа'!$J129,'Геом. характеристики швеллера'!$A$6:$A$41,0)))+SIN(O$117*PI()/180)/(45*INDEX('Геом.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швеллера'!$A$6:$A$41,0))))</f>
        <v>886.41464720379975</v>
      </c>
      <c r="P129" s="53">
        <f>IF(((8*$E$17*$E$19/($E$12^2))/(COS(P$117*PI()/180)/(INDEX('Геом. характеристики швеллера'!$K$6:$K$41,MATCH('без учета бимомента,два тяжа'!$J129,'Геом. характеристики швеллера'!$A$6:$A$41,0)))+SIN(P$117*PI()/180)/(45*INDEX('Геом.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швеллера'!$A$6:$A$41,0)))&lt;((2*$E$17*$E$19/($E$12^2))/(5*COS(P$117*PI()/180)/(24*INDEX('Геом. характеристики швеллера'!$K$6:$K$41,MATCH('без учета бимомента,два тяжа'!$J129,'Геом. характеристики швеллера'!$A$6:$A$41,0)))+SIN(P$117*PI()/180)/(45*INDEX('Геом.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швеллера'!$A$6:$A$41,0))),((8*$E$17*$E$19/($E$12^2))/(COS(P$117*PI()/180)/(INDEX('Геом. характеристики швеллера'!$K$6:$K$41,MATCH('без учета бимомента,два тяжа'!$J129,'Геом. характеристики швеллера'!$A$6:$A$41,0)))+SIN(P$117*PI()/180)/(45*INDEX('Геом.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швеллера'!$A$6:$A$41,0))),((2*$E$17*$E$19/($E$12^2))/(5*COS(P$117*PI()/180)/(24*INDEX('Геом. характеристики швеллера'!$K$6:$K$41,MATCH('без учета бимомента,два тяжа'!$J129,'Геом. характеристики швеллера'!$A$6:$A$41,0)))+SIN(P$117*PI()/180)/(45*INDEX('Геом.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швеллера'!$A$6:$A$41,0))))</f>
        <v>862.93172904161713</v>
      </c>
      <c r="Q129" s="53">
        <f>IF(((8*$E$17*$E$19/($E$12^2))/(COS(Q$117*PI()/180)/(INDEX('Геом. характеристики швеллера'!$K$6:$K$41,MATCH('без учета бимомента,два тяжа'!$J129,'Геом. характеристики швеллера'!$A$6:$A$41,0)))+SIN(Q$117*PI()/180)/(45*INDEX('Геом.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швеллера'!$A$6:$A$41,0)))&lt;((2*$E$17*$E$19/($E$12^2))/(5*COS(Q$117*PI()/180)/(24*INDEX('Геом. характеристики швеллера'!$K$6:$K$41,MATCH('без учета бимомента,два тяжа'!$J129,'Геом. характеристики швеллера'!$A$6:$A$41,0)))+SIN(Q$117*PI()/180)/(45*INDEX('Геом.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швеллера'!$A$6:$A$41,0))),((8*$E$17*$E$19/($E$12^2))/(COS(Q$117*PI()/180)/(INDEX('Геом. характеристики швеллера'!$K$6:$K$41,MATCH('без учета бимомента,два тяжа'!$J129,'Геом. характеристики швеллера'!$A$6:$A$41,0)))+SIN(Q$117*PI()/180)/(45*INDEX('Геом.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швеллера'!$A$6:$A$41,0))),((2*$E$17*$E$19/($E$12^2))/(5*COS(Q$117*PI()/180)/(24*INDEX('Геом. характеристики швеллера'!$K$6:$K$41,MATCH('без учета бимомента,два тяжа'!$J129,'Геом. характеристики швеллера'!$A$6:$A$41,0)))+SIN(Q$117*PI()/180)/(45*INDEX('Геом. характеристики швеллера'!$O$6:$O$41,MATCH('без учета бимомента,два тяжа'!$J129,'Геом. характеристики швеллера'!$A$6:$A$41,0))))/10-INDEX('Геом. характеристики швеллера'!$I$6:$I$41,MATCH('без учета бимомента,два тяжа'!$J129,'Геом. характеристики швеллера'!$A$6:$A$41,0))))</f>
        <v>847.07348142000296</v>
      </c>
      <c r="R129" s="11"/>
      <c r="S129" s="11"/>
    </row>
    <row r="130" spans="1:19" ht="16.5" thickBot="1" x14ac:dyDescent="0.3">
      <c r="B130"/>
      <c r="I130" s="11"/>
      <c r="J130" s="40" t="s">
        <v>84</v>
      </c>
      <c r="K130" s="53">
        <f>IF(((8*$E$17*$E$19/($E$12^2))/(COS(K$117*PI()/180)/(INDEX('Геом. характеристики швеллера'!$K$6:$K$41,MATCH('без учета бимомента,два тяжа'!$J130,'Геом. характеристики швеллера'!$A$6:$A$41,0)))+SIN(K$117*PI()/180)/(45*INDEX('Геом.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швеллера'!$A$6:$A$41,0)))&lt;((2*$E$17*$E$19/($E$12^2))/(5*COS(K$117*PI()/180)/(24*INDEX('Геом. характеристики швеллера'!$K$6:$K$41,MATCH('без учета бимомента,два тяжа'!$J130,'Геом. характеристики швеллера'!$A$6:$A$41,0)))+SIN(K$117*PI()/180)/(45*INDEX('Геом.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швеллера'!$A$6:$A$41,0))),((8*$E$17*$E$19/($E$12^2))/(COS(K$117*PI()/180)/(INDEX('Геом. характеристики швеллера'!$K$6:$K$41,MATCH('без учета бимомента,два тяжа'!$J130,'Геом. характеристики швеллера'!$A$6:$A$41,0)))+SIN(K$117*PI()/180)/(45*INDEX('Геом.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швеллера'!$A$6:$A$41,0))),((2*$E$17*$E$19/($E$12^2))/(5*COS(K$117*PI()/180)/(24*INDEX('Геом. характеристики швеллера'!$K$6:$K$41,MATCH('без учета бимомента,два тяжа'!$J130,'Геом. характеристики швеллера'!$A$6:$A$41,0)))+SIN(K$117*PI()/180)/(45*INDEX('Геом.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швеллера'!$A$6:$A$41,0))))</f>
        <v>1137.5999999999999</v>
      </c>
      <c r="L130" s="53">
        <f>IF(((8*$E$17*$E$19/($E$12^2))/(COS(L$117*PI()/180)/(INDEX('Геом. характеристики швеллера'!$K$6:$K$41,MATCH('без учета бимомента,два тяжа'!$J130,'Геом. характеристики швеллера'!$A$6:$A$41,0)))+SIN(L$117*PI()/180)/(45*INDEX('Геом.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швеллера'!$A$6:$A$41,0)))&lt;((2*$E$17*$E$19/($E$12^2))/(5*COS(L$117*PI()/180)/(24*INDEX('Геом. характеристики швеллера'!$K$6:$K$41,MATCH('без учета бимомента,два тяжа'!$J130,'Геом. характеристики швеллера'!$A$6:$A$41,0)))+SIN(L$117*PI()/180)/(45*INDEX('Геом.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швеллера'!$A$6:$A$41,0))),((8*$E$17*$E$19/($E$12^2))/(COS(L$117*PI()/180)/(INDEX('Геом. характеристики швеллера'!$K$6:$K$41,MATCH('без учета бимомента,два тяжа'!$J130,'Геом. характеристики швеллера'!$A$6:$A$41,0)))+SIN(L$117*PI()/180)/(45*INDEX('Геом.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швеллера'!$A$6:$A$41,0))),((2*$E$17*$E$19/($E$12^2))/(5*COS(L$117*PI()/180)/(24*INDEX('Геом. характеристики швеллера'!$K$6:$K$41,MATCH('без учета бимомента,два тяжа'!$J130,'Геом. характеристики швеллера'!$A$6:$A$41,0)))+SIN(L$117*PI()/180)/(45*INDEX('Геом.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швеллера'!$A$6:$A$41,0))))</f>
        <v>1124.9306157090018</v>
      </c>
      <c r="M130" s="53">
        <f>IF(((8*$E$17*$E$19/($E$12^2))/(COS(M$117*PI()/180)/(INDEX('Геом. характеристики швеллера'!$K$6:$K$41,MATCH('без учета бимомента,два тяжа'!$J130,'Геом. характеристики швеллера'!$A$6:$A$41,0)))+SIN(M$117*PI()/180)/(45*INDEX('Геом.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швеллера'!$A$6:$A$41,0)))&lt;((2*$E$17*$E$19/($E$12^2))/(5*COS(M$117*PI()/180)/(24*INDEX('Геом. характеристики швеллера'!$K$6:$K$41,MATCH('без учета бимомента,два тяжа'!$J130,'Геом. характеристики швеллера'!$A$6:$A$41,0)))+SIN(M$117*PI()/180)/(45*INDEX('Геом.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швеллера'!$A$6:$A$41,0))),((8*$E$17*$E$19/($E$12^2))/(COS(M$117*PI()/180)/(INDEX('Геом. характеристики швеллера'!$K$6:$K$41,MATCH('без учета бимомента,два тяжа'!$J130,'Геом. характеристики швеллера'!$A$6:$A$41,0)))+SIN(M$117*PI()/180)/(45*INDEX('Геом.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швеллера'!$A$6:$A$41,0))),((2*$E$17*$E$19/($E$12^2))/(5*COS(M$117*PI()/180)/(24*INDEX('Геом. характеристики швеллера'!$K$6:$K$41,MATCH('без учета бимомента,два тяжа'!$J130,'Геом. характеристики швеллера'!$A$6:$A$41,0)))+SIN(M$117*PI()/180)/(45*INDEX('Геом.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швеллера'!$A$6:$A$41,0))))</f>
        <v>1121.1559123929289</v>
      </c>
      <c r="N130" s="53">
        <f>IF(((8*$E$17*$E$19/($E$12^2))/(COS(N$117*PI()/180)/(INDEX('Геом. характеристики швеллера'!$K$6:$K$41,MATCH('без учета бимомента,два тяжа'!$J130,'Геом. характеристики швеллера'!$A$6:$A$41,0)))+SIN(N$117*PI()/180)/(45*INDEX('Геом.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швеллера'!$A$6:$A$41,0)))&lt;((2*$E$17*$E$19/($E$12^2))/(5*COS(N$117*PI()/180)/(24*INDEX('Геом. характеристики швеллера'!$K$6:$K$41,MATCH('без учета бимомента,два тяжа'!$J130,'Геом. характеристики швеллера'!$A$6:$A$41,0)))+SIN(N$117*PI()/180)/(45*INDEX('Геом.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швеллера'!$A$6:$A$41,0))),((8*$E$17*$E$19/($E$12^2))/(COS(N$117*PI()/180)/(INDEX('Геом. характеристики швеллера'!$K$6:$K$41,MATCH('без учета бимомента,два тяжа'!$J130,'Геом. характеристики швеллера'!$A$6:$A$41,0)))+SIN(N$117*PI()/180)/(45*INDEX('Геом.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швеллера'!$A$6:$A$41,0))),((2*$E$17*$E$19/($E$12^2))/(5*COS(N$117*PI()/180)/(24*INDEX('Геом. характеристики швеллера'!$K$6:$K$41,MATCH('без учета бимомента,два тяжа'!$J130,'Геом. характеристики швеллера'!$A$6:$A$41,0)))+SIN(N$117*PI()/180)/(45*INDEX('Геом.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швеллера'!$A$6:$A$41,0))))</f>
        <v>1126.1304543453571</v>
      </c>
      <c r="O130" s="53">
        <f>IF(((8*$E$17*$E$19/($E$12^2))/(COS(O$117*PI()/180)/(INDEX('Геом. характеристики швеллера'!$K$6:$K$41,MATCH('без учета бимомента,два тяжа'!$J130,'Геом. характеристики швеллера'!$A$6:$A$41,0)))+SIN(O$117*PI()/180)/(45*INDEX('Геом.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швеллера'!$A$6:$A$41,0)))&lt;((2*$E$17*$E$19/($E$12^2))/(5*COS(O$117*PI()/180)/(24*INDEX('Геом. характеристики швеллера'!$K$6:$K$41,MATCH('без учета бимомента,два тяжа'!$J130,'Геом. характеристики швеллера'!$A$6:$A$41,0)))+SIN(O$117*PI()/180)/(45*INDEX('Геом.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швеллера'!$A$6:$A$41,0))),((8*$E$17*$E$19/($E$12^2))/(COS(O$117*PI()/180)/(INDEX('Геом. характеристики швеллера'!$K$6:$K$41,MATCH('без учета бимомента,два тяжа'!$J130,'Геом. характеристики швеллера'!$A$6:$A$41,0)))+SIN(O$117*PI()/180)/(45*INDEX('Геом.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швеллера'!$A$6:$A$41,0))),((2*$E$17*$E$19/($E$12^2))/(5*COS(O$117*PI()/180)/(24*INDEX('Геом. характеристики швеллера'!$K$6:$K$41,MATCH('без учета бимомента,два тяжа'!$J130,'Геом. характеристики швеллера'!$A$6:$A$41,0)))+SIN(O$117*PI()/180)/(45*INDEX('Геом.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швеллера'!$A$6:$A$41,0))))</f>
        <v>1119.4184767719576</v>
      </c>
      <c r="P130" s="53">
        <f>IF(((8*$E$17*$E$19/($E$12^2))/(COS(P$117*PI()/180)/(INDEX('Геом. характеристики швеллера'!$K$6:$K$41,MATCH('без учета бимомента,два тяжа'!$J130,'Геом. характеристики швеллера'!$A$6:$A$41,0)))+SIN(P$117*PI()/180)/(45*INDEX('Геом.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швеллера'!$A$6:$A$41,0)))&lt;((2*$E$17*$E$19/($E$12^2))/(5*COS(P$117*PI()/180)/(24*INDEX('Геом. характеристики швеллера'!$K$6:$K$41,MATCH('без учета бимомента,два тяжа'!$J130,'Геом. характеристики швеллера'!$A$6:$A$41,0)))+SIN(P$117*PI()/180)/(45*INDEX('Геом.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швеллера'!$A$6:$A$41,0))),((8*$E$17*$E$19/($E$12^2))/(COS(P$117*PI()/180)/(INDEX('Геом. характеристики швеллера'!$K$6:$K$41,MATCH('без учета бимомента,два тяжа'!$J130,'Геом. характеристики швеллера'!$A$6:$A$41,0)))+SIN(P$117*PI()/180)/(45*INDEX('Геом.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швеллера'!$A$6:$A$41,0))),((2*$E$17*$E$19/($E$12^2))/(5*COS(P$117*PI()/180)/(24*INDEX('Геом. характеристики швеллера'!$K$6:$K$41,MATCH('без учета бимомента,два тяжа'!$J130,'Геом. характеристики швеллера'!$A$6:$A$41,0)))+SIN(P$117*PI()/180)/(45*INDEX('Геом.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швеллера'!$A$6:$A$41,0))))</f>
        <v>1089.768119806778</v>
      </c>
      <c r="Q130" s="53">
        <f>IF(((8*$E$17*$E$19/($E$12^2))/(COS(Q$117*PI()/180)/(INDEX('Геом. характеристики швеллера'!$K$6:$K$41,MATCH('без учета бимомента,два тяжа'!$J130,'Геом. характеристики швеллера'!$A$6:$A$41,0)))+SIN(Q$117*PI()/180)/(45*INDEX('Геом.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швеллера'!$A$6:$A$41,0)))&lt;((2*$E$17*$E$19/($E$12^2))/(5*COS(Q$117*PI()/180)/(24*INDEX('Геом. характеристики швеллера'!$K$6:$K$41,MATCH('без учета бимомента,два тяжа'!$J130,'Геом. характеристики швеллера'!$A$6:$A$41,0)))+SIN(Q$117*PI()/180)/(45*INDEX('Геом.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швеллера'!$A$6:$A$41,0))),((8*$E$17*$E$19/($E$12^2))/(COS(Q$117*PI()/180)/(INDEX('Геом. характеристики швеллера'!$K$6:$K$41,MATCH('без учета бимомента,два тяжа'!$J130,'Геом. характеристики швеллера'!$A$6:$A$41,0)))+SIN(Q$117*PI()/180)/(45*INDEX('Геом.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швеллера'!$A$6:$A$41,0))),((2*$E$17*$E$19/($E$12^2))/(5*COS(Q$117*PI()/180)/(24*INDEX('Геом. характеристики швеллера'!$K$6:$K$41,MATCH('без учета бимомента,два тяжа'!$J130,'Геом. характеристики швеллера'!$A$6:$A$41,0)))+SIN(Q$117*PI()/180)/(45*INDEX('Геом. характеристики швеллера'!$O$6:$O$41,MATCH('без учета бимомента,два тяжа'!$J130,'Геом. характеристики швеллера'!$A$6:$A$41,0))))/10-INDEX('Геом. характеристики швеллера'!$I$6:$I$41,MATCH('без учета бимомента,два тяжа'!$J130,'Геом. характеристики швеллера'!$A$6:$A$41,0))))</f>
        <v>1069.7301930923645</v>
      </c>
      <c r="R130" s="11"/>
      <c r="S130" s="11"/>
    </row>
    <row r="131" spans="1:19" ht="16.5" thickBot="1" x14ac:dyDescent="0.3">
      <c r="I131" s="11"/>
      <c r="J131" s="40" t="s">
        <v>85</v>
      </c>
      <c r="K131" s="53">
        <f>IF(((8*$E$17*$E$19/($E$12^2))/(COS(K$117*PI()/180)/(INDEX('Геом. характеристики швеллера'!$K$6:$K$41,MATCH('без учета бимомента,два тяжа'!$J131,'Геом. характеристики швеллера'!$A$6:$A$41,0)))+SIN(K$117*PI()/180)/(45*INDEX('Геом.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швеллера'!$A$6:$A$41,0)))&lt;((2*$E$17*$E$19/($E$12^2))/(5*COS(K$117*PI()/180)/(24*INDEX('Геом. характеристики швеллера'!$K$6:$K$41,MATCH('без учета бимомента,два тяжа'!$J131,'Геом. характеристики швеллера'!$A$6:$A$41,0)))+SIN(K$117*PI()/180)/(45*INDEX('Геом.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швеллера'!$A$6:$A$41,0))),((8*$E$17*$E$19/($E$12^2))/(COS(K$117*PI()/180)/(INDEX('Геом. характеристики швеллера'!$K$6:$K$41,MATCH('без учета бимомента,два тяжа'!$J131,'Геом. характеристики швеллера'!$A$6:$A$41,0)))+SIN(K$117*PI()/180)/(45*INDEX('Геом.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швеллера'!$A$6:$A$41,0))),((2*$E$17*$E$19/($E$12^2))/(5*COS(K$117*PI()/180)/(24*INDEX('Геом. характеристики швеллера'!$K$6:$K$41,MATCH('без учета бимомента,два тяжа'!$J131,'Геом. характеристики швеллера'!$A$6:$A$41,0)))+SIN(K$117*PI()/180)/(45*INDEX('Геом.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швеллера'!$A$6:$A$41,0))))</f>
        <v>1450.6999999999998</v>
      </c>
      <c r="L131" s="53">
        <f>IF(((8*$E$17*$E$19/($E$12^2))/(COS(L$117*PI()/180)/(INDEX('Геом. характеристики швеллера'!$K$6:$K$41,MATCH('без учета бимомента,два тяжа'!$J131,'Геом. характеристики швеллера'!$A$6:$A$41,0)))+SIN(L$117*PI()/180)/(45*INDEX('Геом.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швеллера'!$A$6:$A$41,0)))&lt;((2*$E$17*$E$19/($E$12^2))/(5*COS(L$117*PI()/180)/(24*INDEX('Геом. характеристики швеллера'!$K$6:$K$41,MATCH('без учета бимомента,два тяжа'!$J131,'Геом. характеристики швеллера'!$A$6:$A$41,0)))+SIN(L$117*PI()/180)/(45*INDEX('Геом.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швеллера'!$A$6:$A$41,0))),((8*$E$17*$E$19/($E$12^2))/(COS(L$117*PI()/180)/(INDEX('Геом. характеристики швеллера'!$K$6:$K$41,MATCH('без учета бимомента,два тяжа'!$J131,'Геом. характеристики швеллера'!$A$6:$A$41,0)))+SIN(L$117*PI()/180)/(45*INDEX('Геом.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швеллера'!$A$6:$A$41,0))),((2*$E$17*$E$19/($E$12^2))/(5*COS(L$117*PI()/180)/(24*INDEX('Геом. характеристики швеллера'!$K$6:$K$41,MATCH('без учета бимомента,два тяжа'!$J131,'Геом. характеристики швеллера'!$A$6:$A$41,0)))+SIN(L$117*PI()/180)/(45*INDEX('Геом.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швеллера'!$A$6:$A$41,0))))</f>
        <v>1432.8989066519403</v>
      </c>
      <c r="M131" s="53">
        <f>IF(((8*$E$17*$E$19/($E$12^2))/(COS(M$117*PI()/180)/(INDEX('Геом. характеристики швеллера'!$K$6:$K$41,MATCH('без учета бимомента,два тяжа'!$J131,'Геом. характеристики швеллера'!$A$6:$A$41,0)))+SIN(M$117*PI()/180)/(45*INDEX('Геом.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швеллера'!$A$6:$A$41,0)))&lt;((2*$E$17*$E$19/($E$12^2))/(5*COS(M$117*PI()/180)/(24*INDEX('Геом. характеристики швеллера'!$K$6:$K$41,MATCH('без учета бимомента,два тяжа'!$J131,'Геом. характеристики швеллера'!$A$6:$A$41,0)))+SIN(M$117*PI()/180)/(45*INDEX('Геом.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швеллера'!$A$6:$A$41,0))),((8*$E$17*$E$19/($E$12^2))/(COS(M$117*PI()/180)/(INDEX('Геом. характеристики швеллера'!$K$6:$K$41,MATCH('без учета бимомента,два тяжа'!$J131,'Геом. характеристики швеллера'!$A$6:$A$41,0)))+SIN(M$117*PI()/180)/(45*INDEX('Геом.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швеллера'!$A$6:$A$41,0))),((2*$E$17*$E$19/($E$12^2))/(5*COS(M$117*PI()/180)/(24*INDEX('Геом. характеристики швеллера'!$K$6:$K$41,MATCH('без учета бимомента,два тяжа'!$J131,'Геом. характеристики швеллера'!$A$6:$A$41,0)))+SIN(M$117*PI()/180)/(45*INDEX('Геом.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швеллера'!$A$6:$A$41,0))))</f>
        <v>1426.4567320035037</v>
      </c>
      <c r="N131" s="53">
        <f>IF(((8*$E$17*$E$19/($E$12^2))/(COS(N$117*PI()/180)/(INDEX('Геом. характеристики швеллера'!$K$6:$K$41,MATCH('без учета бимомента,два тяжа'!$J131,'Геом. характеристики швеллера'!$A$6:$A$41,0)))+SIN(N$117*PI()/180)/(45*INDEX('Геом.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швеллера'!$A$6:$A$41,0)))&lt;((2*$E$17*$E$19/($E$12^2))/(5*COS(N$117*PI()/180)/(24*INDEX('Геом. характеристики швеллера'!$K$6:$K$41,MATCH('без учета бимомента,два тяжа'!$J131,'Геом. характеристики швеллера'!$A$6:$A$41,0)))+SIN(N$117*PI()/180)/(45*INDEX('Геом.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швеллера'!$A$6:$A$41,0))),((8*$E$17*$E$19/($E$12^2))/(COS(N$117*PI()/180)/(INDEX('Геом. характеристики швеллера'!$K$6:$K$41,MATCH('без учета бимомента,два тяжа'!$J131,'Геом. характеристики швеллера'!$A$6:$A$41,0)))+SIN(N$117*PI()/180)/(45*INDEX('Геом.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швеллера'!$A$6:$A$41,0))),((2*$E$17*$E$19/($E$12^2))/(5*COS(N$117*PI()/180)/(24*INDEX('Геом. характеристики швеллера'!$K$6:$K$41,MATCH('без учета бимомента,два тяжа'!$J131,'Геом. характеристики швеллера'!$A$6:$A$41,0)))+SIN(N$117*PI()/180)/(45*INDEX('Геом.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швеллера'!$A$6:$A$41,0))))</f>
        <v>1431.1249202746078</v>
      </c>
      <c r="O131" s="53">
        <f>IF(((8*$E$17*$E$19/($E$12^2))/(COS(O$117*PI()/180)/(INDEX('Геом. характеристики швеллера'!$K$6:$K$41,MATCH('без учета бимомента,два тяжа'!$J131,'Геом. характеристики швеллера'!$A$6:$A$41,0)))+SIN(O$117*PI()/180)/(45*INDEX('Геом.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швеллера'!$A$6:$A$41,0)))&lt;((2*$E$17*$E$19/($E$12^2))/(5*COS(O$117*PI()/180)/(24*INDEX('Геом. характеристики швеллера'!$K$6:$K$41,MATCH('без учета бимомента,два тяжа'!$J131,'Геом. характеристики швеллера'!$A$6:$A$41,0)))+SIN(O$117*PI()/180)/(45*INDEX('Геом.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швеллера'!$A$6:$A$41,0))),((8*$E$17*$E$19/($E$12^2))/(COS(O$117*PI()/180)/(INDEX('Геом. характеристики швеллера'!$K$6:$K$41,MATCH('без учета бимомента,два тяжа'!$J131,'Геом. характеристики швеллера'!$A$6:$A$41,0)))+SIN(O$117*PI()/180)/(45*INDEX('Геом.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швеллера'!$A$6:$A$41,0))),((2*$E$17*$E$19/($E$12^2))/(5*COS(O$117*PI()/180)/(24*INDEX('Геом. характеристики швеллера'!$K$6:$K$41,MATCH('без учета бимомента,два тяжа'!$J131,'Геом. характеристики швеллера'!$A$6:$A$41,0)))+SIN(O$117*PI()/180)/(45*INDEX('Геом.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швеллера'!$A$6:$A$41,0))))</f>
        <v>1401.9267153785145</v>
      </c>
      <c r="P131" s="53">
        <f>IF(((8*$E$17*$E$19/($E$12^2))/(COS(P$117*PI()/180)/(INDEX('Геом. характеристики швеллера'!$K$6:$K$41,MATCH('без учета бимомента,два тяжа'!$J131,'Геом. характеристики швеллера'!$A$6:$A$41,0)))+SIN(P$117*PI()/180)/(45*INDEX('Геом.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швеллера'!$A$6:$A$41,0)))&lt;((2*$E$17*$E$19/($E$12^2))/(5*COS(P$117*PI()/180)/(24*INDEX('Геом. характеристики швеллера'!$K$6:$K$41,MATCH('без учета бимомента,два тяжа'!$J131,'Геом. характеристики швеллера'!$A$6:$A$41,0)))+SIN(P$117*PI()/180)/(45*INDEX('Геом.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швеллера'!$A$6:$A$41,0))),((8*$E$17*$E$19/($E$12^2))/(COS(P$117*PI()/180)/(INDEX('Геом. характеристики швеллера'!$K$6:$K$41,MATCH('без учета бимомента,два тяжа'!$J131,'Геом. характеристики швеллера'!$A$6:$A$41,0)))+SIN(P$117*PI()/180)/(45*INDEX('Геом.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швеллера'!$A$6:$A$41,0))),((2*$E$17*$E$19/($E$12^2))/(5*COS(P$117*PI()/180)/(24*INDEX('Геом. характеристики швеллера'!$K$6:$K$41,MATCH('без учета бимомента,два тяжа'!$J131,'Геом. характеристики швеллера'!$A$6:$A$41,0)))+SIN(P$117*PI()/180)/(45*INDEX('Геом.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швеллера'!$A$6:$A$41,0))))</f>
        <v>1359.8781410563636</v>
      </c>
      <c r="Q131" s="53">
        <f>IF(((8*$E$17*$E$19/($E$12^2))/(COS(Q$117*PI()/180)/(INDEX('Геом. характеристики швеллера'!$K$6:$K$41,MATCH('без учета бимомента,два тяжа'!$J131,'Геом. характеристики швеллера'!$A$6:$A$41,0)))+SIN(Q$117*PI()/180)/(45*INDEX('Геом.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швеллера'!$A$6:$A$41,0)))&lt;((2*$E$17*$E$19/($E$12^2))/(5*COS(Q$117*PI()/180)/(24*INDEX('Геом. характеристики швеллера'!$K$6:$K$41,MATCH('без учета бимомента,два тяжа'!$J131,'Геом. характеристики швеллера'!$A$6:$A$41,0)))+SIN(Q$117*PI()/180)/(45*INDEX('Геом.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швеллера'!$A$6:$A$41,0))),((8*$E$17*$E$19/($E$12^2))/(COS(Q$117*PI()/180)/(INDEX('Геом. характеристики швеллера'!$K$6:$K$41,MATCH('без учета бимомента,два тяжа'!$J131,'Геом. характеристики швеллера'!$A$6:$A$41,0)))+SIN(Q$117*PI()/180)/(45*INDEX('Геом.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швеллера'!$A$6:$A$41,0))),((2*$E$17*$E$19/($E$12^2))/(5*COS(Q$117*PI()/180)/(24*INDEX('Геом. характеристики швеллера'!$K$6:$K$41,MATCH('без учета бимомента,два тяжа'!$J131,'Геом. характеристики швеллера'!$A$6:$A$41,0)))+SIN(Q$117*PI()/180)/(45*INDEX('Геом. характеристики швеллера'!$O$6:$O$41,MATCH('без учета бимомента,два тяжа'!$J131,'Геом. характеристики швеллера'!$A$6:$A$41,0))))/10-INDEX('Геом. характеристики швеллера'!$I$6:$I$41,MATCH('без учета бимомента,два тяжа'!$J131,'Геом. характеристики швеллера'!$A$6:$A$41,0))))</f>
        <v>1330.2720800791558</v>
      </c>
      <c r="R131" s="11"/>
      <c r="S131" s="11"/>
    </row>
    <row r="132" spans="1:19" ht="16.5" thickBot="1" x14ac:dyDescent="0.3">
      <c r="C132" s="2">
        <f>C88*E26*100/(E27*E24*E18*E19)</f>
        <v>0.16052861855539469</v>
      </c>
      <c r="E132" s="115" t="str">
        <f>IF(C132&lt;1,"Условия прочности обеспечены","Условия прочности не обеспечены")</f>
        <v>Условия прочности обеспечены</v>
      </c>
      <c r="F132" s="115"/>
      <c r="G132" s="115"/>
      <c r="I132" s="11"/>
      <c r="J132" s="40" t="s">
        <v>86</v>
      </c>
      <c r="K132" s="53">
        <f>IF(((8*$E$17*$E$19/($E$12^2))/(COS(K$117*PI()/180)/(INDEX('Геом. характеристики швеллера'!$K$6:$K$41,MATCH('без учета бимомента,два тяжа'!$J132,'Геом. характеристики швеллера'!$A$6:$A$41,0)))+SIN(K$117*PI()/180)/(45*INDEX('Геом.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швеллера'!$A$6:$A$41,0)))&lt;((2*$E$17*$E$19/($E$12^2))/(5*COS(K$117*PI()/180)/(24*INDEX('Геом. характеристики швеллера'!$K$6:$K$41,MATCH('без учета бимомента,два тяжа'!$J132,'Геом. характеристики швеллера'!$A$6:$A$41,0)))+SIN(K$117*PI()/180)/(45*INDEX('Геом.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швеллера'!$A$6:$A$41,0))),((8*$E$17*$E$19/($E$12^2))/(COS(K$117*PI()/180)/(INDEX('Геом. характеристики швеллера'!$K$6:$K$41,MATCH('без учета бимомента,два тяжа'!$J132,'Геом. характеристики швеллера'!$A$6:$A$41,0)))+SIN(K$117*PI()/180)/(45*INDEX('Геом.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швеллера'!$A$6:$A$41,0))),((2*$E$17*$E$19/($E$12^2))/(5*COS(K$117*PI()/180)/(24*INDEX('Геом. характеристики швеллера'!$K$6:$K$41,MATCH('без учета бимомента,два тяжа'!$J132,'Геом. характеристики швеллера'!$A$6:$A$41,0)))+SIN(K$117*PI()/180)/(45*INDEX('Геом.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швеллера'!$A$6:$A$41,0))))</f>
        <v>1825.8</v>
      </c>
      <c r="L132" s="53">
        <f>IF(((8*$E$17*$E$19/($E$12^2))/(COS(L$117*PI()/180)/(INDEX('Геом. характеристики швеллера'!$K$6:$K$41,MATCH('без учета бимомента,два тяжа'!$J132,'Геом. характеристики швеллера'!$A$6:$A$41,0)))+SIN(L$117*PI()/180)/(45*INDEX('Геом.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швеллера'!$A$6:$A$41,0)))&lt;((2*$E$17*$E$19/($E$12^2))/(5*COS(L$117*PI()/180)/(24*INDEX('Геом. характеристики швеллера'!$K$6:$K$41,MATCH('без учета бимомента,два тяжа'!$J132,'Геом. характеристики швеллера'!$A$6:$A$41,0)))+SIN(L$117*PI()/180)/(45*INDEX('Геом.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швеллера'!$A$6:$A$41,0))),((8*$E$17*$E$19/($E$12^2))/(COS(L$117*PI()/180)/(INDEX('Геом. характеристики швеллера'!$K$6:$K$41,MATCH('без учета бимомента,два тяжа'!$J132,'Геом. характеристики швеллера'!$A$6:$A$41,0)))+SIN(L$117*PI()/180)/(45*INDEX('Геом.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швеллера'!$A$6:$A$41,0))),((2*$E$17*$E$19/($E$12^2))/(5*COS(L$117*PI()/180)/(24*INDEX('Геом. характеристики швеллера'!$K$6:$K$41,MATCH('без учета бимомента,два тяжа'!$J132,'Геом. характеристики швеллера'!$A$6:$A$41,0)))+SIN(L$117*PI()/180)/(45*INDEX('Геом.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швеллера'!$A$6:$A$41,0))))</f>
        <v>1801.2626807876845</v>
      </c>
      <c r="M132" s="53">
        <f>IF(((8*$E$17*$E$19/($E$12^2))/(COS(M$117*PI()/180)/(INDEX('Геом. характеристики швеллера'!$K$6:$K$41,MATCH('без учета бимомента,два тяжа'!$J132,'Геом. характеристики швеллера'!$A$6:$A$41,0)))+SIN(M$117*PI()/180)/(45*INDEX('Геом.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швеллера'!$A$6:$A$41,0)))&lt;((2*$E$17*$E$19/($E$12^2))/(5*COS(M$117*PI()/180)/(24*INDEX('Геом. характеристики швеллера'!$K$6:$K$41,MATCH('без учета бимомента,два тяжа'!$J132,'Геом. характеристики швеллера'!$A$6:$A$41,0)))+SIN(M$117*PI()/180)/(45*INDEX('Геом.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швеллера'!$A$6:$A$41,0))),((8*$E$17*$E$19/($E$12^2))/(COS(M$117*PI()/180)/(INDEX('Геом. характеристики швеллера'!$K$6:$K$41,MATCH('без учета бимомента,два тяжа'!$J132,'Геом. характеристики швеллера'!$A$6:$A$41,0)))+SIN(M$117*PI()/180)/(45*INDEX('Геом.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швеллера'!$A$6:$A$41,0))),((2*$E$17*$E$19/($E$12^2))/(5*COS(M$117*PI()/180)/(24*INDEX('Геом. характеристики швеллера'!$K$6:$K$41,MATCH('без учета бимомента,два тяжа'!$J132,'Геом. характеристики швеллера'!$A$6:$A$41,0)))+SIN(M$117*PI()/180)/(45*INDEX('Геом.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швеллера'!$A$6:$A$41,0))))</f>
        <v>1791.057327720838</v>
      </c>
      <c r="N132" s="53">
        <f>IF(((8*$E$17*$E$19/($E$12^2))/(COS(N$117*PI()/180)/(INDEX('Геом. характеристики швеллера'!$K$6:$K$41,MATCH('без учета бимомента,два тяжа'!$J132,'Геом. характеристики швеллера'!$A$6:$A$41,0)))+SIN(N$117*PI()/180)/(45*INDEX('Геом.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швеллера'!$A$6:$A$41,0)))&lt;((2*$E$17*$E$19/($E$12^2))/(5*COS(N$117*PI()/180)/(24*INDEX('Геом. характеристики швеллера'!$K$6:$K$41,MATCH('без учета бимомента,два тяжа'!$J132,'Геом. характеристики швеллера'!$A$6:$A$41,0)))+SIN(N$117*PI()/180)/(45*INDEX('Геом.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швеллера'!$A$6:$A$41,0))),((8*$E$17*$E$19/($E$12^2))/(COS(N$117*PI()/180)/(INDEX('Геом. характеристики швеллера'!$K$6:$K$41,MATCH('без учета бимомента,два тяжа'!$J132,'Геом. характеристики швеллера'!$A$6:$A$41,0)))+SIN(N$117*PI()/180)/(45*INDEX('Геом.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швеллера'!$A$6:$A$41,0))),((2*$E$17*$E$19/($E$12^2))/(5*COS(N$117*PI()/180)/(24*INDEX('Геом. характеристики швеллера'!$K$6:$K$41,MATCH('без учета бимомента,два тяжа'!$J132,'Геом. характеристики швеллера'!$A$6:$A$41,0)))+SIN(N$117*PI()/180)/(45*INDEX('Геом.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швеллера'!$A$6:$A$41,0))))</f>
        <v>1794.7894622418407</v>
      </c>
      <c r="O132" s="53">
        <f>IF(((8*$E$17*$E$19/($E$12^2))/(COS(O$117*PI()/180)/(INDEX('Геом. характеристики швеллера'!$K$6:$K$41,MATCH('без учета бимомента,два тяжа'!$J132,'Геом. характеристики швеллера'!$A$6:$A$41,0)))+SIN(O$117*PI()/180)/(45*INDEX('Геом.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швеллера'!$A$6:$A$41,0)))&lt;((2*$E$17*$E$19/($E$12^2))/(5*COS(O$117*PI()/180)/(24*INDEX('Геом. характеристики швеллера'!$K$6:$K$41,MATCH('без учета бимомента,два тяжа'!$J132,'Геом. характеристики швеллера'!$A$6:$A$41,0)))+SIN(O$117*PI()/180)/(45*INDEX('Геом.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швеллера'!$A$6:$A$41,0))),((8*$E$17*$E$19/($E$12^2))/(COS(O$117*PI()/180)/(INDEX('Геом. характеристики швеллера'!$K$6:$K$41,MATCH('без учета бимомента,два тяжа'!$J132,'Геом. характеристики швеллера'!$A$6:$A$41,0)))+SIN(O$117*PI()/180)/(45*INDEX('Геом.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швеллера'!$A$6:$A$41,0))),((2*$E$17*$E$19/($E$12^2))/(5*COS(O$117*PI()/180)/(24*INDEX('Геом. характеристики швеллера'!$K$6:$K$41,MATCH('без учета бимомента,два тяжа'!$J132,'Геом. характеристики швеллера'!$A$6:$A$41,0)))+SIN(O$117*PI()/180)/(45*INDEX('Геом.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швеллера'!$A$6:$A$41,0))))</f>
        <v>1732.4232964993478</v>
      </c>
      <c r="P132" s="53">
        <f>IF(((8*$E$17*$E$19/($E$12^2))/(COS(P$117*PI()/180)/(INDEX('Геом. характеристики швеллера'!$K$6:$K$41,MATCH('без учета бимомента,два тяжа'!$J132,'Геом. характеристики швеллера'!$A$6:$A$41,0)))+SIN(P$117*PI()/180)/(45*INDEX('Геом.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швеллера'!$A$6:$A$41,0)))&lt;((2*$E$17*$E$19/($E$12^2))/(5*COS(P$117*PI()/180)/(24*INDEX('Геом. характеристики швеллера'!$K$6:$K$41,MATCH('без учета бимомента,два тяжа'!$J132,'Геом. характеристики швеллера'!$A$6:$A$41,0)))+SIN(P$117*PI()/180)/(45*INDEX('Геом.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швеллера'!$A$6:$A$41,0))),((8*$E$17*$E$19/($E$12^2))/(COS(P$117*PI()/180)/(INDEX('Геом. характеристики швеллера'!$K$6:$K$41,MATCH('без учета бимомента,два тяжа'!$J132,'Геом. характеристики швеллера'!$A$6:$A$41,0)))+SIN(P$117*PI()/180)/(45*INDEX('Геом.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швеллера'!$A$6:$A$41,0))),((2*$E$17*$E$19/($E$12^2))/(5*COS(P$117*PI()/180)/(24*INDEX('Геом. характеристики швеллера'!$K$6:$K$41,MATCH('без учета бимомента,два тяжа'!$J132,'Геом. характеристики швеллера'!$A$6:$A$41,0)))+SIN(P$117*PI()/180)/(45*INDEX('Геом.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швеллера'!$A$6:$A$41,0))))</f>
        <v>1674.4576422063144</v>
      </c>
      <c r="Q132" s="53">
        <f>IF(((8*$E$17*$E$19/($E$12^2))/(COS(Q$117*PI()/180)/(INDEX('Геом. характеристики швеллера'!$K$6:$K$41,MATCH('без учета бимомента,два тяжа'!$J132,'Геом. характеристики швеллера'!$A$6:$A$41,0)))+SIN(Q$117*PI()/180)/(45*INDEX('Геом.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швеллера'!$A$6:$A$41,0)))&lt;((2*$E$17*$E$19/($E$12^2))/(5*COS(Q$117*PI()/180)/(24*INDEX('Геом. характеристики швеллера'!$K$6:$K$41,MATCH('без учета бимомента,два тяжа'!$J132,'Геом. характеристики швеллера'!$A$6:$A$41,0)))+SIN(Q$117*PI()/180)/(45*INDEX('Геом.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швеллера'!$A$6:$A$41,0))),((8*$E$17*$E$19/($E$12^2))/(COS(Q$117*PI()/180)/(INDEX('Геом. характеристики швеллера'!$K$6:$K$41,MATCH('без учета бимомента,два тяжа'!$J132,'Геом. характеристики швеллера'!$A$6:$A$41,0)))+SIN(Q$117*PI()/180)/(45*INDEX('Геом.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швеллера'!$A$6:$A$41,0))),((2*$E$17*$E$19/($E$12^2))/(5*COS(Q$117*PI()/180)/(24*INDEX('Геом. характеристики швеллера'!$K$6:$K$41,MATCH('без учета бимомента,два тяжа'!$J132,'Геом. характеристики швеллера'!$A$6:$A$41,0)))+SIN(Q$117*PI()/180)/(45*INDEX('Геом. характеристики швеллера'!$O$6:$O$41,MATCH('без учета бимомента,два тяжа'!$J132,'Геом. характеристики швеллера'!$A$6:$A$41,0))))/10-INDEX('Геом. характеристики швеллера'!$I$6:$I$41,MATCH('без учета бимомента,два тяжа'!$J132,'Геом. характеристики швеллера'!$A$6:$A$41,0))))</f>
        <v>1632.442857177138</v>
      </c>
      <c r="R132" s="11"/>
      <c r="S132" s="11"/>
    </row>
    <row r="133" spans="1:19" ht="16.5" thickBot="1" x14ac:dyDescent="0.3">
      <c r="I133" s="11"/>
      <c r="J133" s="40" t="s">
        <v>87</v>
      </c>
      <c r="K133" s="53">
        <f>IF(((8*$E$17*$E$19/($E$12^2))/(COS(K$117*PI()/180)/(INDEX('Геом. характеристики швеллера'!$K$6:$K$41,MATCH('без учета бимомента,два тяжа'!$J133,'Геом. характеристики швеллера'!$A$6:$A$41,0)))+SIN(K$117*PI()/180)/(45*INDEX('Геом.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швеллера'!$A$6:$A$41,0)))&lt;((2*$E$17*$E$19/($E$12^2))/(5*COS(K$117*PI()/180)/(24*INDEX('Геом. характеристики швеллера'!$K$6:$K$41,MATCH('без учета бимомента,два тяжа'!$J133,'Геом. характеристики швеллера'!$A$6:$A$41,0)))+SIN(K$117*PI()/180)/(45*INDEX('Геом.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швеллера'!$A$6:$A$41,0))),((8*$E$17*$E$19/($E$12^2))/(COS(K$117*PI()/180)/(INDEX('Геом. характеристики швеллера'!$K$6:$K$41,MATCH('без учета бимомента,два тяжа'!$J133,'Геом. характеристики швеллера'!$A$6:$A$41,0)))+SIN(K$117*PI()/180)/(45*INDEX('Геом.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швеллера'!$A$6:$A$41,0))),((2*$E$17*$E$19/($E$12^2))/(5*COS(K$117*PI()/180)/(24*INDEX('Геом. характеристики швеллера'!$K$6:$K$41,MATCH('без учета бимомента,два тяжа'!$J133,'Геом. характеристики швеллера'!$A$6:$A$41,0)))+SIN(K$117*PI()/180)/(45*INDEX('Геом.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швеллера'!$A$6:$A$41,0))))</f>
        <v>2286.6999999999998</v>
      </c>
      <c r="L133" s="53">
        <f>IF(((8*$E$17*$E$19/($E$12^2))/(COS(L$117*PI()/180)/(INDEX('Геом. характеристики швеллера'!$K$6:$K$41,MATCH('без учета бимомента,два тяжа'!$J133,'Геом. характеристики швеллера'!$A$6:$A$41,0)))+SIN(L$117*PI()/180)/(45*INDEX('Геом.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швеллера'!$A$6:$A$41,0)))&lt;((2*$E$17*$E$19/($E$12^2))/(5*COS(L$117*PI()/180)/(24*INDEX('Геом. характеристики швеллера'!$K$6:$K$41,MATCH('без учета бимомента,два тяжа'!$J133,'Геом. характеристики швеллера'!$A$6:$A$41,0)))+SIN(L$117*PI()/180)/(45*INDEX('Геом.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швеллера'!$A$6:$A$41,0))),((8*$E$17*$E$19/($E$12^2))/(COS(L$117*PI()/180)/(INDEX('Геом. характеристики швеллера'!$K$6:$K$41,MATCH('без учета бимомента,два тяжа'!$J133,'Геом. характеристики швеллера'!$A$6:$A$41,0)))+SIN(L$117*PI()/180)/(45*INDEX('Геом.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швеллера'!$A$6:$A$41,0))),((2*$E$17*$E$19/($E$12^2))/(5*COS(L$117*PI()/180)/(24*INDEX('Геом. характеристики швеллера'!$K$6:$K$41,MATCH('без учета бимомента,два тяжа'!$J133,'Геом. характеристики швеллера'!$A$6:$A$41,0)))+SIN(L$117*PI()/180)/(45*INDEX('Геом.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швеллера'!$A$6:$A$41,0))))</f>
        <v>2253.9660653638371</v>
      </c>
      <c r="M133" s="53">
        <f>IF(((8*$E$17*$E$19/($E$12^2))/(COS(M$117*PI()/180)/(INDEX('Геом. характеристики швеллера'!$K$6:$K$41,MATCH('без учета бимомента,два тяжа'!$J133,'Геом. характеристики швеллера'!$A$6:$A$41,0)))+SIN(M$117*PI()/180)/(45*INDEX('Геом.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швеллера'!$A$6:$A$41,0)))&lt;((2*$E$17*$E$19/($E$12^2))/(5*COS(M$117*PI()/180)/(24*INDEX('Геом. характеристики швеллера'!$K$6:$K$41,MATCH('без учета бимомента,два тяжа'!$J133,'Геом. характеристики швеллера'!$A$6:$A$41,0)))+SIN(M$117*PI()/180)/(45*INDEX('Геом.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швеллера'!$A$6:$A$41,0))),((8*$E$17*$E$19/($E$12^2))/(COS(M$117*PI()/180)/(INDEX('Геом. характеристики швеллера'!$K$6:$K$41,MATCH('без учета бимомента,два тяжа'!$J133,'Геом. характеристики швеллера'!$A$6:$A$41,0)))+SIN(M$117*PI()/180)/(45*INDEX('Геом.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швеллера'!$A$6:$A$41,0))),((2*$E$17*$E$19/($E$12^2))/(5*COS(M$117*PI()/180)/(24*INDEX('Геом. характеристики швеллера'!$K$6:$K$41,MATCH('без учета бимомента,два тяжа'!$J133,'Геом. характеристики швеллера'!$A$6:$A$41,0)))+SIN(M$117*PI()/180)/(45*INDEX('Геом.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швеллера'!$A$6:$A$41,0))))</f>
        <v>2239.2207235101741</v>
      </c>
      <c r="N133" s="53">
        <f>IF(((8*$E$17*$E$19/($E$12^2))/(COS(N$117*PI()/180)/(INDEX('Геом. характеристики швеллера'!$K$6:$K$41,MATCH('без учета бимомента,два тяжа'!$J133,'Геом. характеристики швеллера'!$A$6:$A$41,0)))+SIN(N$117*PI()/180)/(45*INDEX('Геом.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швеллера'!$A$6:$A$41,0)))&lt;((2*$E$17*$E$19/($E$12^2))/(5*COS(N$117*PI()/180)/(24*INDEX('Геом. характеристики швеллера'!$K$6:$K$41,MATCH('без учета бимомента,два тяжа'!$J133,'Геом. характеристики швеллера'!$A$6:$A$41,0)))+SIN(N$117*PI()/180)/(45*INDEX('Геом.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швеллера'!$A$6:$A$41,0))),((8*$E$17*$E$19/($E$12^2))/(COS(N$117*PI()/180)/(INDEX('Геом. характеристики швеллера'!$K$6:$K$41,MATCH('без учета бимомента,два тяжа'!$J133,'Геом. характеристики швеллера'!$A$6:$A$41,0)))+SIN(N$117*PI()/180)/(45*INDEX('Геом.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швеллера'!$A$6:$A$41,0))),((2*$E$17*$E$19/($E$12^2))/(5*COS(N$117*PI()/180)/(24*INDEX('Геом. характеристики швеллера'!$K$6:$K$41,MATCH('без учета бимомента,два тяжа'!$J133,'Геом. характеристики швеллера'!$A$6:$A$41,0)))+SIN(N$117*PI()/180)/(45*INDEX('Геом.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швеллера'!$A$6:$A$41,0))))</f>
        <v>2241.3725938237189</v>
      </c>
      <c r="O133" s="53">
        <f>IF(((8*$E$17*$E$19/($E$12^2))/(COS(O$117*PI()/180)/(INDEX('Геом. характеристики швеллера'!$K$6:$K$41,MATCH('без учета бимомента,два тяжа'!$J133,'Геом. характеристики швеллера'!$A$6:$A$41,0)))+SIN(O$117*PI()/180)/(45*INDEX('Геом.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швеллера'!$A$6:$A$41,0)))&lt;((2*$E$17*$E$19/($E$12^2))/(5*COS(O$117*PI()/180)/(24*INDEX('Геом. характеристики швеллера'!$K$6:$K$41,MATCH('без учета бимомента,два тяжа'!$J133,'Геом. характеристики швеллера'!$A$6:$A$41,0)))+SIN(O$117*PI()/180)/(45*INDEX('Геом.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швеллера'!$A$6:$A$41,0))),((8*$E$17*$E$19/($E$12^2))/(COS(O$117*PI()/180)/(INDEX('Геом. характеристики швеллера'!$K$6:$K$41,MATCH('без учета бимомента,два тяжа'!$J133,'Геом. характеристики швеллера'!$A$6:$A$41,0)))+SIN(O$117*PI()/180)/(45*INDEX('Геом.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швеллера'!$A$6:$A$41,0))),((2*$E$17*$E$19/($E$12^2))/(5*COS(O$117*PI()/180)/(24*INDEX('Геом. характеристики швеллера'!$K$6:$K$41,MATCH('без учета бимомента,два тяжа'!$J133,'Геом. характеристики швеллера'!$A$6:$A$41,0)))+SIN(O$117*PI()/180)/(45*INDEX('Геом.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швеллера'!$A$6:$A$41,0))))</f>
        <v>2140.5334393949906</v>
      </c>
      <c r="P133" s="53">
        <f>IF(((8*$E$17*$E$19/($E$12^2))/(COS(P$117*PI()/180)/(INDEX('Геом. характеристики швеллера'!$K$6:$K$41,MATCH('без учета бимомента,два тяжа'!$J133,'Геом. характеристики швеллера'!$A$6:$A$41,0)))+SIN(P$117*PI()/180)/(45*INDEX('Геом.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швеллера'!$A$6:$A$41,0)))&lt;((2*$E$17*$E$19/($E$12^2))/(5*COS(P$117*PI()/180)/(24*INDEX('Геом. характеристики швеллера'!$K$6:$K$41,MATCH('без учета бимомента,два тяжа'!$J133,'Геом. характеристики швеллера'!$A$6:$A$41,0)))+SIN(P$117*PI()/180)/(45*INDEX('Геом.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швеллера'!$A$6:$A$41,0))),((8*$E$17*$E$19/($E$12^2))/(COS(P$117*PI()/180)/(INDEX('Геом. характеристики швеллера'!$K$6:$K$41,MATCH('без учета бимомента,два тяжа'!$J133,'Геом. характеристики швеллера'!$A$6:$A$41,0)))+SIN(P$117*PI()/180)/(45*INDEX('Геом.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швеллера'!$A$6:$A$41,0))),((2*$E$17*$E$19/($E$12^2))/(5*COS(P$117*PI()/180)/(24*INDEX('Геом. характеристики швеллера'!$K$6:$K$41,MATCH('без учета бимомента,два тяжа'!$J133,'Геом. характеристики швеллера'!$A$6:$A$41,0)))+SIN(P$117*PI()/180)/(45*INDEX('Геом.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швеллера'!$A$6:$A$41,0))))</f>
        <v>2063.5489995726657</v>
      </c>
      <c r="Q133" s="53">
        <f>IF(((8*$E$17*$E$19/($E$12^2))/(COS(Q$117*PI()/180)/(INDEX('Геом. характеристики швеллера'!$K$6:$K$41,MATCH('без учета бимомента,два тяжа'!$J133,'Геом. характеристики швеллера'!$A$6:$A$41,0)))+SIN(Q$117*PI()/180)/(45*INDEX('Геом.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швеллера'!$A$6:$A$41,0)))&lt;((2*$E$17*$E$19/($E$12^2))/(5*COS(Q$117*PI()/180)/(24*INDEX('Геом. характеристики швеллера'!$K$6:$K$41,MATCH('без учета бимомента,два тяжа'!$J133,'Геом. характеристики швеллера'!$A$6:$A$41,0)))+SIN(Q$117*PI()/180)/(45*INDEX('Геом.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швеллера'!$A$6:$A$41,0))),((8*$E$17*$E$19/($E$12^2))/(COS(Q$117*PI()/180)/(INDEX('Геом. характеристики швеллера'!$K$6:$K$41,MATCH('без учета бимомента,два тяжа'!$J133,'Геом. характеристики швеллера'!$A$6:$A$41,0)))+SIN(Q$117*PI()/180)/(45*INDEX('Геом.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швеллера'!$A$6:$A$41,0))),((2*$E$17*$E$19/($E$12^2))/(5*COS(Q$117*PI()/180)/(24*INDEX('Геом. характеристики швеллера'!$K$6:$K$41,MATCH('без учета бимомента,два тяжа'!$J133,'Геом. характеристики швеллера'!$A$6:$A$41,0)))+SIN(Q$117*PI()/180)/(45*INDEX('Геом. характеристики швеллера'!$O$6:$O$41,MATCH('без учета бимомента,два тяжа'!$J133,'Геом. характеристики швеллера'!$A$6:$A$41,0))))/10-INDEX('Геом. характеристики швеллера'!$I$6:$I$41,MATCH('без учета бимомента,два тяжа'!$J133,'Геом. характеристики швеллера'!$A$6:$A$41,0))))</f>
        <v>2006.8432007889853</v>
      </c>
      <c r="R133" s="11"/>
      <c r="S133" s="11"/>
    </row>
    <row r="134" spans="1:19" ht="16.5" thickBot="1" x14ac:dyDescent="0.3">
      <c r="A134" s="2" t="s">
        <v>273</v>
      </c>
      <c r="I134" s="11"/>
      <c r="J134" s="40" t="s">
        <v>88</v>
      </c>
      <c r="K134" s="53">
        <f>IF(((8*$E$17*$E$19/($E$12^2))/(COS(K$117*PI()/180)/(INDEX('Геом. характеристики швеллера'!$K$6:$K$41,MATCH('без учета бимомента,два тяжа'!$J134,'Геом. характеристики швеллера'!$A$6:$A$41,0)))+SIN(K$117*PI()/180)/(45*INDEX('Геом.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швеллера'!$A$6:$A$41,0)))&lt;((2*$E$17*$E$19/($E$12^2))/(5*COS(K$117*PI()/180)/(24*INDEX('Геом. характеристики швеллера'!$K$6:$K$41,MATCH('без учета бимомента,два тяжа'!$J134,'Геом. характеристики швеллера'!$A$6:$A$41,0)))+SIN(K$117*PI()/180)/(45*INDEX('Геом.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швеллера'!$A$6:$A$41,0))),((8*$E$17*$E$19/($E$12^2))/(COS(K$117*PI()/180)/(INDEX('Геом. характеристики швеллера'!$K$6:$K$41,MATCH('без учета бимомента,два тяжа'!$J134,'Геом. характеристики швеллера'!$A$6:$A$41,0)))+SIN(K$117*PI()/180)/(45*INDEX('Геом.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швеллера'!$A$6:$A$41,0))),((2*$E$17*$E$19/($E$12^2))/(5*COS(K$117*PI()/180)/(24*INDEX('Геом. характеристики швеллера'!$K$6:$K$41,MATCH('без учета бимомента,два тяжа'!$J134,'Геом. характеристики швеллера'!$A$6:$A$41,0)))+SIN(K$117*PI()/180)/(45*INDEX('Геом.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швеллера'!$A$6:$A$41,0))))</f>
        <v>2842.9</v>
      </c>
      <c r="L134" s="53">
        <f>IF(((8*$E$17*$E$19/($E$12^2))/(COS(L$117*PI()/180)/(INDEX('Геом. характеристики швеллера'!$K$6:$K$41,MATCH('без учета бимомента,два тяжа'!$J134,'Геом. характеристики швеллера'!$A$6:$A$41,0)))+SIN(L$117*PI()/180)/(45*INDEX('Геом.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швеллера'!$A$6:$A$41,0)))&lt;((2*$E$17*$E$19/($E$12^2))/(5*COS(L$117*PI()/180)/(24*INDEX('Геом. характеристики швеллера'!$K$6:$K$41,MATCH('без учета бимомента,два тяжа'!$J134,'Геом. характеристики швеллера'!$A$6:$A$41,0)))+SIN(L$117*PI()/180)/(45*INDEX('Геом.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швеллера'!$A$6:$A$41,0))),((8*$E$17*$E$19/($E$12^2))/(COS(L$117*PI()/180)/(INDEX('Геом. характеристики швеллера'!$K$6:$K$41,MATCH('без учета бимомента,два тяжа'!$J134,'Геом. характеристики швеллера'!$A$6:$A$41,0)))+SIN(L$117*PI()/180)/(45*INDEX('Геом.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швеллера'!$A$6:$A$41,0))),((2*$E$17*$E$19/($E$12^2))/(5*COS(L$117*PI()/180)/(24*INDEX('Геом. характеристики швеллера'!$K$6:$K$41,MATCH('без учета бимомента,два тяжа'!$J134,'Геом. характеристики швеллера'!$A$6:$A$41,0)))+SIN(L$117*PI()/180)/(45*INDEX('Геом.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швеллера'!$A$6:$A$41,0))))</f>
        <v>2800.0983879064884</v>
      </c>
      <c r="M134" s="53">
        <f>IF(((8*$E$17*$E$19/($E$12^2))/(COS(M$117*PI()/180)/(INDEX('Геом. характеристики швеллера'!$K$6:$K$41,MATCH('без учета бимомента,два тяжа'!$J134,'Геом. характеристики швеллера'!$A$6:$A$41,0)))+SIN(M$117*PI()/180)/(45*INDEX('Геом.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швеллера'!$A$6:$A$41,0)))&lt;((2*$E$17*$E$19/($E$12^2))/(5*COS(M$117*PI()/180)/(24*INDEX('Геом. характеристики швеллера'!$K$6:$K$41,MATCH('без учета бимомента,два тяжа'!$J134,'Геом. характеристики швеллера'!$A$6:$A$41,0)))+SIN(M$117*PI()/180)/(45*INDEX('Геом.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швеллера'!$A$6:$A$41,0))),((8*$E$17*$E$19/($E$12^2))/(COS(M$117*PI()/180)/(INDEX('Геом. характеристики швеллера'!$K$6:$K$41,MATCH('без учета бимомента,два тяжа'!$J134,'Геом. характеристики швеллера'!$A$6:$A$41,0)))+SIN(M$117*PI()/180)/(45*INDEX('Геом.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швеллера'!$A$6:$A$41,0))),((2*$E$17*$E$19/($E$12^2))/(5*COS(M$117*PI()/180)/(24*INDEX('Геом. характеристики швеллера'!$K$6:$K$41,MATCH('без учета бимомента,два тяжа'!$J134,'Геом. характеристики швеллера'!$A$6:$A$41,0)))+SIN(M$117*PI()/180)/(45*INDEX('Геом.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швеллера'!$A$6:$A$41,0))))</f>
        <v>2779.7084889715493</v>
      </c>
      <c r="N134" s="53">
        <f>IF(((8*$E$17*$E$19/($E$12^2))/(COS(N$117*PI()/180)/(INDEX('Геом. характеристики швеллера'!$K$6:$K$41,MATCH('без учета бимомента,два тяжа'!$J134,'Геом. характеристики швеллера'!$A$6:$A$41,0)))+SIN(N$117*PI()/180)/(45*INDEX('Геом.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швеллера'!$A$6:$A$41,0)))&lt;((2*$E$17*$E$19/($E$12^2))/(5*COS(N$117*PI()/180)/(24*INDEX('Геом. характеристики швеллера'!$K$6:$K$41,MATCH('без учета бимомента,два тяжа'!$J134,'Геом. характеристики швеллера'!$A$6:$A$41,0)))+SIN(N$117*PI()/180)/(45*INDEX('Геом.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швеллера'!$A$6:$A$41,0))),((8*$E$17*$E$19/($E$12^2))/(COS(N$117*PI()/180)/(INDEX('Геом. характеристики швеллера'!$K$6:$K$41,MATCH('без учета бимомента,два тяжа'!$J134,'Геом. характеристики швеллера'!$A$6:$A$41,0)))+SIN(N$117*PI()/180)/(45*INDEX('Геом.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швеллера'!$A$6:$A$41,0))),((2*$E$17*$E$19/($E$12^2))/(5*COS(N$117*PI()/180)/(24*INDEX('Геом. характеристики швеллера'!$K$6:$K$41,MATCH('без учета бимомента,два тяжа'!$J134,'Геом. характеристики швеллера'!$A$6:$A$41,0)))+SIN(N$117*PI()/180)/(45*INDEX('Геом.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швеллера'!$A$6:$A$41,0))))</f>
        <v>2761.5069292530738</v>
      </c>
      <c r="O134" s="53">
        <f>IF(((8*$E$17*$E$19/($E$12^2))/(COS(O$117*PI()/180)/(INDEX('Геом. характеристики швеллера'!$K$6:$K$41,MATCH('без учета бимомента,два тяжа'!$J134,'Геом. характеристики швеллера'!$A$6:$A$41,0)))+SIN(O$117*PI()/180)/(45*INDEX('Геом.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швеллера'!$A$6:$A$41,0)))&lt;((2*$E$17*$E$19/($E$12^2))/(5*COS(O$117*PI()/180)/(24*INDEX('Геом. характеристики швеллера'!$K$6:$K$41,MATCH('без учета бимомента,два тяжа'!$J134,'Геом. характеристики швеллера'!$A$6:$A$41,0)))+SIN(O$117*PI()/180)/(45*INDEX('Геом.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швеллера'!$A$6:$A$41,0))),((8*$E$17*$E$19/($E$12^2))/(COS(O$117*PI()/180)/(INDEX('Геом. характеристики швеллера'!$K$6:$K$41,MATCH('без учета бимомента,два тяжа'!$J134,'Геом. характеристики швеллера'!$A$6:$A$41,0)))+SIN(O$117*PI()/180)/(45*INDEX('Геом.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швеллера'!$A$6:$A$41,0))),((2*$E$17*$E$19/($E$12^2))/(5*COS(O$117*PI()/180)/(24*INDEX('Геом. характеристики швеллера'!$K$6:$K$41,MATCH('без учета бимомента,два тяжа'!$J134,'Геом. характеристики швеллера'!$A$6:$A$41,0)))+SIN(O$117*PI()/180)/(45*INDEX('Геом.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швеллера'!$A$6:$A$41,0))))</f>
        <v>2631.1631438610516</v>
      </c>
      <c r="P134" s="53">
        <f>IF(((8*$E$17*$E$19/($E$12^2))/(COS(P$117*PI()/180)/(INDEX('Геом. характеристики швеллера'!$K$6:$K$41,MATCH('без учета бимомента,два тяжа'!$J134,'Геом. характеристики швеллера'!$A$6:$A$41,0)))+SIN(P$117*PI()/180)/(45*INDEX('Геом.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швеллера'!$A$6:$A$41,0)))&lt;((2*$E$17*$E$19/($E$12^2))/(5*COS(P$117*PI()/180)/(24*INDEX('Геом. характеристики швеллера'!$K$6:$K$41,MATCH('без учета бимомента,два тяжа'!$J134,'Геом. характеристики швеллера'!$A$6:$A$41,0)))+SIN(P$117*PI()/180)/(45*INDEX('Геом.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швеллера'!$A$6:$A$41,0))),((8*$E$17*$E$19/($E$12^2))/(COS(P$117*PI()/180)/(INDEX('Геом. характеристики швеллера'!$K$6:$K$41,MATCH('без учета бимомента,два тяжа'!$J134,'Геом. характеристики швеллера'!$A$6:$A$41,0)))+SIN(P$117*PI()/180)/(45*INDEX('Геом.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швеллера'!$A$6:$A$41,0))),((2*$E$17*$E$19/($E$12^2))/(5*COS(P$117*PI()/180)/(24*INDEX('Геом. характеристики швеллера'!$K$6:$K$41,MATCH('без учета бимомента,два тяжа'!$J134,'Геом. характеристики швеллера'!$A$6:$A$41,0)))+SIN(P$117*PI()/180)/(45*INDEX('Геом.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швеллера'!$A$6:$A$41,0))))</f>
        <v>2531.1136312843901</v>
      </c>
      <c r="Q134" s="53">
        <f>IF(((8*$E$17*$E$19/($E$12^2))/(COS(Q$117*PI()/180)/(INDEX('Геом. характеристики швеллера'!$K$6:$K$41,MATCH('без учета бимомента,два тяжа'!$J134,'Геом. характеристики швеллера'!$A$6:$A$41,0)))+SIN(Q$117*PI()/180)/(45*INDEX('Геом.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швеллера'!$A$6:$A$41,0)))&lt;((2*$E$17*$E$19/($E$12^2))/(5*COS(Q$117*PI()/180)/(24*INDEX('Геом. характеристики швеллера'!$K$6:$K$41,MATCH('без учета бимомента,два тяжа'!$J134,'Геом. характеристики швеллера'!$A$6:$A$41,0)))+SIN(Q$117*PI()/180)/(45*INDEX('Геом.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швеллера'!$A$6:$A$41,0))),((8*$E$17*$E$19/($E$12^2))/(COS(Q$117*PI()/180)/(INDEX('Геом. характеристики швеллера'!$K$6:$K$41,MATCH('без учета бимомента,два тяжа'!$J134,'Геом. характеристики швеллера'!$A$6:$A$41,0)))+SIN(Q$117*PI()/180)/(45*INDEX('Геом.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швеллера'!$A$6:$A$41,0))),((2*$E$17*$E$19/($E$12^2))/(5*COS(Q$117*PI()/180)/(24*INDEX('Геом. характеристики швеллера'!$K$6:$K$41,MATCH('без учета бимомента,два тяжа'!$J134,'Геом. характеристики швеллера'!$A$6:$A$41,0)))+SIN(Q$117*PI()/180)/(45*INDEX('Геом. характеристики швеллера'!$O$6:$O$41,MATCH('без учета бимомента,два тяжа'!$J134,'Геом. характеристики швеллера'!$A$6:$A$41,0))))/10-INDEX('Геом. характеристики швеллера'!$I$6:$I$41,MATCH('без учета бимомента,два тяжа'!$J134,'Геом. характеристики швеллера'!$A$6:$A$41,0))))</f>
        <v>2456.612525679639</v>
      </c>
      <c r="R134" s="11"/>
      <c r="S134" s="11"/>
    </row>
    <row r="135" spans="1:19" ht="16.5" thickBot="1" x14ac:dyDescent="0.3">
      <c r="I135" s="11"/>
      <c r="J135" s="41" t="s">
        <v>89</v>
      </c>
      <c r="K135" s="53">
        <f>IF(((8*$E$17*$E$19/($E$12^2))/(COS(K$117*PI()/180)/(INDEX('Геом. характеристики швеллера'!$K$6:$K$41,MATCH('без учета бимомента,два тяжа'!$J135,'Геом. характеристики швеллера'!$A$6:$A$41,0)))+SIN(K$117*PI()/180)/(45*INDEX('Геом.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швеллера'!$A$6:$A$41,0)))&lt;((2*$E$17*$E$19/($E$12^2))/(5*COS(K$117*PI()/180)/(24*INDEX('Геом. характеристики швеллера'!$K$6:$K$41,MATCH('без учета бимомента,два тяжа'!$J135,'Геом. характеристики швеллера'!$A$6:$A$41,0)))+SIN(K$117*PI()/180)/(45*INDEX('Геом.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швеллера'!$A$6:$A$41,0))),((8*$E$17*$E$19/($E$12^2))/(COS(K$117*PI()/180)/(INDEX('Геом. характеристики швеллера'!$K$6:$K$41,MATCH('без учета бимомента,два тяжа'!$J135,'Геом. характеристики швеллера'!$A$6:$A$41,0)))+SIN(K$117*PI()/180)/(45*INDEX('Геом.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швеллера'!$A$6:$A$41,0))),((2*$E$17*$E$19/($E$12^2))/(5*COS(K$117*PI()/180)/(24*INDEX('Геом. характеристики швеллера'!$K$6:$K$41,MATCH('без учета бимомента,два тяжа'!$J135,'Геом. характеристики швеллера'!$A$6:$A$41,0)))+SIN(K$117*PI()/180)/(45*INDEX('Геом.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швеллера'!$A$6:$A$41,0))))</f>
        <v>3604.5</v>
      </c>
      <c r="L135" s="53">
        <f>IF(((8*$E$17*$E$19/($E$12^2))/(COS(L$117*PI()/180)/(INDEX('Геом. характеристики швеллера'!$K$6:$K$41,MATCH('без учета бимомента,два тяжа'!$J135,'Геом. характеристики швеллера'!$A$6:$A$41,0)))+SIN(L$117*PI()/180)/(45*INDEX('Геом.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швеллера'!$A$6:$A$41,0)))&lt;((2*$E$17*$E$19/($E$12^2))/(5*COS(L$117*PI()/180)/(24*INDEX('Геом. характеристики швеллера'!$K$6:$K$41,MATCH('без учета бимомента,два тяжа'!$J135,'Геом. характеристики швеллера'!$A$6:$A$41,0)))+SIN(L$117*PI()/180)/(45*INDEX('Геом.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швеллера'!$A$6:$A$41,0))),((8*$E$17*$E$19/($E$12^2))/(COS(L$117*PI()/180)/(INDEX('Геом. характеристики швеллера'!$K$6:$K$41,MATCH('без учета бимомента,два тяжа'!$J135,'Геом. характеристики швеллера'!$A$6:$A$41,0)))+SIN(L$117*PI()/180)/(45*INDEX('Геом.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швеллера'!$A$6:$A$41,0))),((2*$E$17*$E$19/($E$12^2))/(5*COS(L$117*PI()/180)/(24*INDEX('Геом. характеристики швеллера'!$K$6:$K$41,MATCH('без учета бимомента,два тяжа'!$J135,'Геом. характеристики швеллера'!$A$6:$A$41,0)))+SIN(L$117*PI()/180)/(45*INDEX('Геом.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швеллера'!$A$6:$A$41,0))))</f>
        <v>3546.00242012332</v>
      </c>
      <c r="M135" s="53">
        <f>IF(((8*$E$17*$E$19/($E$12^2))/(COS(M$117*PI()/180)/(INDEX('Геом. характеристики швеллера'!$K$6:$K$41,MATCH('без учета бимомента,два тяжа'!$J135,'Геом. характеристики швеллера'!$A$6:$A$41,0)))+SIN(M$117*PI()/180)/(45*INDEX('Геом.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швеллера'!$A$6:$A$41,0)))&lt;((2*$E$17*$E$19/($E$12^2))/(5*COS(M$117*PI()/180)/(24*INDEX('Геом. характеристики швеллера'!$K$6:$K$41,MATCH('без учета бимомента,два тяжа'!$J135,'Геом. характеристики швеллера'!$A$6:$A$41,0)))+SIN(M$117*PI()/180)/(45*INDEX('Геом.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швеллера'!$A$6:$A$41,0))),((8*$E$17*$E$19/($E$12^2))/(COS(M$117*PI()/180)/(INDEX('Геом. характеристики швеллера'!$K$6:$K$41,MATCH('без учета бимомента,два тяжа'!$J135,'Геом. характеристики швеллера'!$A$6:$A$41,0)))+SIN(M$117*PI()/180)/(45*INDEX('Геом.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швеллера'!$A$6:$A$41,0))),((2*$E$17*$E$19/($E$12^2))/(5*COS(M$117*PI()/180)/(24*INDEX('Геом. характеристики швеллера'!$K$6:$K$41,MATCH('без учета бимомента,два тяжа'!$J135,'Геом. характеристики швеллера'!$A$6:$A$41,0)))+SIN(M$117*PI()/180)/(45*INDEX('Геом.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швеллера'!$A$6:$A$41,0))))</f>
        <v>3516.0481892054913</v>
      </c>
      <c r="N135" s="53">
        <f>IF(((8*$E$17*$E$19/($E$12^2))/(COS(N$117*PI()/180)/(INDEX('Геом. характеристики швеллера'!$K$6:$K$41,MATCH('без учета бимомента,два тяжа'!$J135,'Геом. характеристики швеллера'!$A$6:$A$41,0)))+SIN(N$117*PI()/180)/(45*INDEX('Геом.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швеллера'!$A$6:$A$41,0)))&lt;((2*$E$17*$E$19/($E$12^2))/(5*COS(N$117*PI()/180)/(24*INDEX('Геом. характеристики швеллера'!$K$6:$K$41,MATCH('без учета бимомента,два тяжа'!$J135,'Геом. характеристики швеллера'!$A$6:$A$41,0)))+SIN(N$117*PI()/180)/(45*INDEX('Геом.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швеллера'!$A$6:$A$41,0))),((8*$E$17*$E$19/($E$12^2))/(COS(N$117*PI()/180)/(INDEX('Геом. характеристики швеллера'!$K$6:$K$41,MATCH('без учета бимомента,два тяжа'!$J135,'Геом. характеристики швеллера'!$A$6:$A$41,0)))+SIN(N$117*PI()/180)/(45*INDEX('Геом.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швеллера'!$A$6:$A$41,0))),((2*$E$17*$E$19/($E$12^2))/(5*COS(N$117*PI()/180)/(24*INDEX('Геом. характеристики швеллера'!$K$6:$K$41,MATCH('без учета бимомента,два тяжа'!$J135,'Геом. характеристики швеллера'!$A$6:$A$41,0)))+SIN(N$117*PI()/180)/(45*INDEX('Геом.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швеллера'!$A$6:$A$41,0))))</f>
        <v>3452.3535116385165</v>
      </c>
      <c r="O135" s="53">
        <f>IF(((8*$E$17*$E$19/($E$12^2))/(COS(O$117*PI()/180)/(INDEX('Геом. характеристики швеллера'!$K$6:$K$41,MATCH('без учета бимомента,два тяжа'!$J135,'Геом. характеристики швеллера'!$A$6:$A$41,0)))+SIN(O$117*PI()/180)/(45*INDEX('Геом.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швеллера'!$A$6:$A$41,0)))&lt;((2*$E$17*$E$19/($E$12^2))/(5*COS(O$117*PI()/180)/(24*INDEX('Геом. характеристики швеллера'!$K$6:$K$41,MATCH('без учета бимомента,два тяжа'!$J135,'Геом. характеристики швеллера'!$A$6:$A$41,0)))+SIN(O$117*PI()/180)/(45*INDEX('Геом.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швеллера'!$A$6:$A$41,0))),((8*$E$17*$E$19/($E$12^2))/(COS(O$117*PI()/180)/(INDEX('Геом. характеристики швеллера'!$K$6:$K$41,MATCH('без учета бимомента,два тяжа'!$J135,'Геом. характеристики швеллера'!$A$6:$A$41,0)))+SIN(O$117*PI()/180)/(45*INDEX('Геом.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швеллера'!$A$6:$A$41,0))),((2*$E$17*$E$19/($E$12^2))/(5*COS(O$117*PI()/180)/(24*INDEX('Геом. характеристики швеллера'!$K$6:$K$41,MATCH('без учета бимомента,два тяжа'!$J135,'Геом. характеристики швеллера'!$A$6:$A$41,0)))+SIN(O$117*PI()/180)/(45*INDEX('Геом.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швеллера'!$A$6:$A$41,0))))</f>
        <v>3277.6329349350603</v>
      </c>
      <c r="P135" s="53">
        <f>IF(((8*$E$17*$E$19/($E$12^2))/(COS(P$117*PI()/180)/(INDEX('Геом. характеристики швеллера'!$K$6:$K$41,MATCH('без учета бимомента,два тяжа'!$J135,'Геом. характеристики швеллера'!$A$6:$A$41,0)))+SIN(P$117*PI()/180)/(45*INDEX('Геом.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швеллера'!$A$6:$A$41,0)))&lt;((2*$E$17*$E$19/($E$12^2))/(5*COS(P$117*PI()/180)/(24*INDEX('Геом. характеристики швеллера'!$K$6:$K$41,MATCH('без учета бимомента,два тяжа'!$J135,'Геом. характеристики швеллера'!$A$6:$A$41,0)))+SIN(P$117*PI()/180)/(45*INDEX('Геом.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швеллера'!$A$6:$A$41,0))),((8*$E$17*$E$19/($E$12^2))/(COS(P$117*PI()/180)/(INDEX('Геом. характеристики швеллера'!$K$6:$K$41,MATCH('без учета бимомента,два тяжа'!$J135,'Геом. характеристики швеллера'!$A$6:$A$41,0)))+SIN(P$117*PI()/180)/(45*INDEX('Геом.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швеллера'!$A$6:$A$41,0))),((2*$E$17*$E$19/($E$12^2))/(5*COS(P$117*PI()/180)/(24*INDEX('Геом. характеристики швеллера'!$K$6:$K$41,MATCH('без учета бимомента,два тяжа'!$J135,'Геом. характеристики швеллера'!$A$6:$A$41,0)))+SIN(P$117*PI()/180)/(45*INDEX('Геом.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швеллера'!$A$6:$A$41,0))))</f>
        <v>3142.6547765622986</v>
      </c>
      <c r="Q135" s="53">
        <f>IF(((8*$E$17*$E$19/($E$12^2))/(COS(Q$117*PI()/180)/(INDEX('Геом. характеристики швеллера'!$K$6:$K$41,MATCH('без учета бимомента,два тяжа'!$J135,'Геом. характеристики швеллера'!$A$6:$A$41,0)))+SIN(Q$117*PI()/180)/(45*INDEX('Геом.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швеллера'!$A$6:$A$41,0)))&lt;((2*$E$17*$E$19/($E$12^2))/(5*COS(Q$117*PI()/180)/(24*INDEX('Геом. характеристики швеллера'!$K$6:$K$41,MATCH('без учета бимомента,два тяжа'!$J135,'Геом. характеристики швеллера'!$A$6:$A$41,0)))+SIN(Q$117*PI()/180)/(45*INDEX('Геом.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швеллера'!$A$6:$A$41,0))),((8*$E$17*$E$19/($E$12^2))/(COS(Q$117*PI()/180)/(INDEX('Геом. характеристики швеллера'!$K$6:$K$41,MATCH('без учета бимомента,два тяжа'!$J135,'Геом. характеристики швеллера'!$A$6:$A$41,0)))+SIN(Q$117*PI()/180)/(45*INDEX('Геом.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швеллера'!$A$6:$A$41,0))),((2*$E$17*$E$19/($E$12^2))/(5*COS(Q$117*PI()/180)/(24*INDEX('Геом. характеристики швеллера'!$K$6:$K$41,MATCH('без учета бимомента,два тяжа'!$J135,'Геом. характеристики швеллера'!$A$6:$A$41,0)))+SIN(Q$117*PI()/180)/(45*INDEX('Геом. характеристики швеллера'!$O$6:$O$41,MATCH('без учета бимомента,два тяжа'!$J135,'Геом. характеристики швеллера'!$A$6:$A$41,0))))/10-INDEX('Геом. характеристики швеллера'!$I$6:$I$41,MATCH('без учета бимомента,два тяжа'!$J135,'Геом. характеристики швеллера'!$A$6:$A$41,0))))</f>
        <v>3040.798117263173</v>
      </c>
      <c r="R135" s="11"/>
      <c r="S135" s="11"/>
    </row>
    <row r="136" spans="1:19" ht="16.5" thickBot="1" x14ac:dyDescent="0.3">
      <c r="A136" s="2" t="s">
        <v>274</v>
      </c>
      <c r="I136" s="11"/>
      <c r="J136" s="60" t="s">
        <v>189</v>
      </c>
      <c r="K136" s="53">
        <f>IF(((8*$E$17*$E$19/($E$12^2))/(COS(K$117*PI()/180)/(INDEX('Геом. характеристики швеллера'!$K$6:$K$41,MATCH('без учета бимомента,два тяжа'!$J136,'Геом. характеристики швеллера'!$A$6:$A$41,0)))+SIN(K$117*PI()/180)/(45*INDEX('Геом.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швеллера'!$A$6:$A$41,0)))&lt;((2*$E$17*$E$19/($E$12^2))/(5*COS(K$117*PI()/180)/(24*INDEX('Геом. характеристики швеллера'!$K$6:$K$41,MATCH('без учета бимомента,два тяжа'!$J136,'Геом. характеристики швеллера'!$A$6:$A$41,0)))+SIN(K$117*PI()/180)/(45*INDEX('Геом.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швеллера'!$A$6:$A$41,0))),((8*$E$17*$E$19/($E$12^2))/(COS(K$117*PI()/180)/(INDEX('Геом. характеристики швеллера'!$K$6:$K$41,MATCH('без учета бимомента,два тяжа'!$J136,'Геом. характеристики швеллера'!$A$6:$A$41,0)))+SIN(K$117*PI()/180)/(45*INDEX('Геом.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швеллера'!$A$6:$A$41,0))),((2*$E$17*$E$19/($E$12^2))/(5*COS(K$117*PI()/180)/(24*INDEX('Геом. характеристики швеллера'!$K$6:$K$41,MATCH('без учета бимомента,два тяжа'!$J136,'Геом. характеристики швеллера'!$A$6:$A$41,0)))+SIN(K$117*PI()/180)/(45*INDEX('Геом.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швеллера'!$A$6:$A$41,0))))</f>
        <v>38.840000000000003</v>
      </c>
      <c r="L136" s="53">
        <f>IF(((8*$E$17*$E$19/($E$12^2))/(COS(L$117*PI()/180)/(INDEX('Геом. характеристики швеллера'!$K$6:$K$41,MATCH('без учета бимомента,два тяжа'!$J136,'Геом. характеристики швеллера'!$A$6:$A$41,0)))+SIN(L$117*PI()/180)/(45*INDEX('Геом.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швеллера'!$A$6:$A$41,0)))&lt;((2*$E$17*$E$19/($E$12^2))/(5*COS(L$117*PI()/180)/(24*INDEX('Геом. характеристики швеллера'!$K$6:$K$41,MATCH('без учета бимомента,два тяжа'!$J136,'Геом. характеристики швеллера'!$A$6:$A$41,0)))+SIN(L$117*PI()/180)/(45*INDEX('Геом.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швеллера'!$A$6:$A$41,0))),((8*$E$17*$E$19/($E$12^2))/(COS(L$117*PI()/180)/(INDEX('Геом. характеристики швеллера'!$K$6:$K$41,MATCH('без учета бимомента,два тяжа'!$J136,'Геом. характеристики швеллера'!$A$6:$A$41,0)))+SIN(L$117*PI()/180)/(45*INDEX('Геом.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швеллера'!$A$6:$A$41,0))),((2*$E$17*$E$19/($E$12^2))/(5*COS(L$117*PI()/180)/(24*INDEX('Геом. характеристики швеллера'!$K$6:$K$41,MATCH('без учета бимомента,два тяжа'!$J136,'Геом. характеристики швеллера'!$A$6:$A$41,0)))+SIN(L$117*PI()/180)/(45*INDEX('Геом.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швеллера'!$A$6:$A$41,0))))</f>
        <v>38.748930110855099</v>
      </c>
      <c r="M136" s="53">
        <f>IF(((8*$E$17*$E$19/($E$12^2))/(COS(M$117*PI()/180)/(INDEX('Геом. характеристики швеллера'!$K$6:$K$41,MATCH('без учета бимомента,два тяжа'!$J136,'Геом. характеристики швеллера'!$A$6:$A$41,0)))+SIN(M$117*PI()/180)/(45*INDEX('Геом.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швеллера'!$A$6:$A$41,0)))&lt;((2*$E$17*$E$19/($E$12^2))/(5*COS(M$117*PI()/180)/(24*INDEX('Геом. характеристики швеллера'!$K$6:$K$41,MATCH('без учета бимомента,два тяжа'!$J136,'Геом. характеристики швеллера'!$A$6:$A$41,0)))+SIN(M$117*PI()/180)/(45*INDEX('Геом.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швеллера'!$A$6:$A$41,0))),((8*$E$17*$E$19/($E$12^2))/(COS(M$117*PI()/180)/(INDEX('Геом. характеристики швеллера'!$K$6:$K$41,MATCH('без учета бимомента,два тяжа'!$J136,'Геом. характеристики швеллера'!$A$6:$A$41,0)))+SIN(M$117*PI()/180)/(45*INDEX('Геом.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швеллера'!$A$6:$A$41,0))),((2*$E$17*$E$19/($E$12^2))/(5*COS(M$117*PI()/180)/(24*INDEX('Геом. характеристики швеллера'!$K$6:$K$41,MATCH('без учета бимомента,два тяжа'!$J136,'Геом. характеристики швеллера'!$A$6:$A$41,0)))+SIN(M$117*PI()/180)/(45*INDEX('Геом.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швеллера'!$A$6:$A$41,0))))</f>
        <v>38.991126471494113</v>
      </c>
      <c r="N136" s="53">
        <f>IF(((8*$E$17*$E$19/($E$12^2))/(COS(N$117*PI()/180)/(INDEX('Геом. характеристики швеллера'!$K$6:$K$41,MATCH('без учета бимомента,два тяжа'!$J136,'Геом. характеристики швеллера'!$A$6:$A$41,0)))+SIN(N$117*PI()/180)/(45*INDEX('Геом.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швеллера'!$A$6:$A$41,0)))&lt;((2*$E$17*$E$19/($E$12^2))/(5*COS(N$117*PI()/180)/(24*INDEX('Геом. характеристики швеллера'!$K$6:$K$41,MATCH('без учета бимомента,два тяжа'!$J136,'Геом. характеристики швеллера'!$A$6:$A$41,0)))+SIN(N$117*PI()/180)/(45*INDEX('Геом.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швеллера'!$A$6:$A$41,0))),((8*$E$17*$E$19/($E$12^2))/(COS(N$117*PI()/180)/(INDEX('Геом. характеристики швеллера'!$K$6:$K$41,MATCH('без учета бимомента,два тяжа'!$J136,'Геом. характеристики швеллера'!$A$6:$A$41,0)))+SIN(N$117*PI()/180)/(45*INDEX('Геом.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швеллера'!$A$6:$A$41,0))),((2*$E$17*$E$19/($E$12^2))/(5*COS(N$117*PI()/180)/(24*INDEX('Геом. характеристики швеллера'!$K$6:$K$41,MATCH('без учета бимомента,два тяжа'!$J136,'Геом. характеристики швеллера'!$A$6:$A$41,0)))+SIN(N$117*PI()/180)/(45*INDEX('Геом.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швеллера'!$A$6:$A$41,0))))</f>
        <v>39.57595026531186</v>
      </c>
      <c r="O136" s="53">
        <f>IF(((8*$E$17*$E$19/($E$12^2))/(COS(O$117*PI()/180)/(INDEX('Геом. характеристики швеллера'!$K$6:$K$41,MATCH('без учета бимомента,два тяжа'!$J136,'Геом. характеристики швеллера'!$A$6:$A$41,0)))+SIN(O$117*PI()/180)/(45*INDEX('Геом.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швеллера'!$A$6:$A$41,0)))&lt;((2*$E$17*$E$19/($E$12^2))/(5*COS(O$117*PI()/180)/(24*INDEX('Геом. характеристики швеллера'!$K$6:$K$41,MATCH('без учета бимомента,два тяжа'!$J136,'Геом. характеристики швеллера'!$A$6:$A$41,0)))+SIN(O$117*PI()/180)/(45*INDEX('Геом.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швеллера'!$A$6:$A$41,0))),((8*$E$17*$E$19/($E$12^2))/(COS(O$117*PI()/180)/(INDEX('Геом. характеристики швеллера'!$K$6:$K$41,MATCH('без учета бимомента,два тяжа'!$J136,'Геом. характеристики швеллера'!$A$6:$A$41,0)))+SIN(O$117*PI()/180)/(45*INDEX('Геом.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швеллера'!$A$6:$A$41,0))),((2*$E$17*$E$19/($E$12^2))/(5*COS(O$117*PI()/180)/(24*INDEX('Геом. характеристики швеллера'!$K$6:$K$41,MATCH('без учета бимомента,два тяжа'!$J136,'Геом. характеристики швеллера'!$A$6:$A$41,0)))+SIN(O$117*PI()/180)/(45*INDEX('Геом.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швеллера'!$A$6:$A$41,0))))</f>
        <v>40.526527050078016</v>
      </c>
      <c r="P136" s="53">
        <f>IF(((8*$E$17*$E$19/($E$12^2))/(COS(P$117*PI()/180)/(INDEX('Геом. характеристики швеллера'!$K$6:$K$41,MATCH('без учета бимомента,два тяжа'!$J136,'Геом. характеристики швеллера'!$A$6:$A$41,0)))+SIN(P$117*PI()/180)/(45*INDEX('Геом.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швеллера'!$A$6:$A$41,0)))&lt;((2*$E$17*$E$19/($E$12^2))/(5*COS(P$117*PI()/180)/(24*INDEX('Геом. характеристики швеллера'!$K$6:$K$41,MATCH('без учета бимомента,два тяжа'!$J136,'Геом. характеристики швеллера'!$A$6:$A$41,0)))+SIN(P$117*PI()/180)/(45*INDEX('Геом.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швеллера'!$A$6:$A$41,0))),((8*$E$17*$E$19/($E$12^2))/(COS(P$117*PI()/180)/(INDEX('Геом. характеристики швеллера'!$K$6:$K$41,MATCH('без учета бимомента,два тяжа'!$J136,'Геом. характеристики швеллера'!$A$6:$A$41,0)))+SIN(P$117*PI()/180)/(45*INDEX('Геом.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швеллера'!$A$6:$A$41,0))),((2*$E$17*$E$19/($E$12^2))/(5*COS(P$117*PI()/180)/(24*INDEX('Геом. характеристики швеллера'!$K$6:$K$41,MATCH('без учета бимомента,два тяжа'!$J136,'Геом. характеристики швеллера'!$A$6:$A$41,0)))+SIN(P$117*PI()/180)/(45*INDEX('Геом.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швеллера'!$A$6:$A$41,0))))</f>
        <v>41.882041038576872</v>
      </c>
      <c r="Q136" s="53">
        <f>IF(((8*$E$17*$E$19/($E$12^2))/(COS(Q$117*PI()/180)/(INDEX('Геом. характеристики швеллера'!$K$6:$K$41,MATCH('без учета бимомента,два тяжа'!$J136,'Геом. характеристики швеллера'!$A$6:$A$41,0)))+SIN(Q$117*PI()/180)/(45*INDEX('Геом.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швеллера'!$A$6:$A$41,0)))&lt;((2*$E$17*$E$19/($E$12^2))/(5*COS(Q$117*PI()/180)/(24*INDEX('Геом. характеристики швеллера'!$K$6:$K$41,MATCH('без учета бимомента,два тяжа'!$J136,'Геом. характеристики швеллера'!$A$6:$A$41,0)))+SIN(Q$117*PI()/180)/(45*INDEX('Геом.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швеллера'!$A$6:$A$41,0))),((8*$E$17*$E$19/($E$12^2))/(COS(Q$117*PI()/180)/(INDEX('Геом. характеристики швеллера'!$K$6:$K$41,MATCH('без учета бимомента,два тяжа'!$J136,'Геом. характеристики швеллера'!$A$6:$A$41,0)))+SIN(Q$117*PI()/180)/(45*INDEX('Геом.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швеллера'!$A$6:$A$41,0))),((2*$E$17*$E$19/($E$12^2))/(5*COS(Q$117*PI()/180)/(24*INDEX('Геом. характеристики швеллера'!$K$6:$K$41,MATCH('без учета бимомента,два тяжа'!$J136,'Геом. характеристики швеллера'!$A$6:$A$41,0)))+SIN(Q$117*PI()/180)/(45*INDEX('Геом. характеристики швеллера'!$O$6:$O$41,MATCH('без учета бимомента,два тяжа'!$J136,'Геом. характеристики швеллера'!$A$6:$A$41,0))))/10-INDEX('Геом. характеристики швеллера'!$I$6:$I$41,MATCH('без учета бимомента,два тяжа'!$J136,'Геом. характеристики швеллера'!$A$6:$A$41,0))))</f>
        <v>43.701864355364606</v>
      </c>
      <c r="R136" s="11"/>
      <c r="S136" s="11"/>
    </row>
    <row r="137" spans="1:19" ht="16.5" thickBot="1" x14ac:dyDescent="0.3">
      <c r="I137" s="11"/>
      <c r="J137" s="40" t="s">
        <v>192</v>
      </c>
      <c r="K137" s="53">
        <f>IF(((8*$E$17*$E$19/($E$12^2))/(COS(K$117*PI()/180)/(INDEX('Геом. характеристики швеллера'!$K$6:$K$41,MATCH('без учета бимомента,два тяжа'!$J137,'Геом. характеристики швеллера'!$A$6:$A$41,0)))+SIN(K$117*PI()/180)/(45*INDEX('Геом.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швеллера'!$A$6:$A$41,0)))&lt;((2*$E$17*$E$19/($E$12^2))/(5*COS(K$117*PI()/180)/(24*INDEX('Геом. характеристики швеллера'!$K$6:$K$41,MATCH('без учета бимомента,два тяжа'!$J137,'Геом. характеристики швеллера'!$A$6:$A$41,0)))+SIN(K$117*PI()/180)/(45*INDEX('Геом.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швеллера'!$A$6:$A$41,0))),((8*$E$17*$E$19/($E$12^2))/(COS(K$117*PI()/180)/(INDEX('Геом. характеристики швеллера'!$K$6:$K$41,MATCH('без учета бимомента,два тяжа'!$J137,'Геом. характеристики швеллера'!$A$6:$A$41,0)))+SIN(K$117*PI()/180)/(45*INDEX('Геом.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швеллера'!$A$6:$A$41,0))),((2*$E$17*$E$19/($E$12^2))/(5*COS(K$117*PI()/180)/(24*INDEX('Геом. характеристики швеллера'!$K$6:$K$41,MATCH('без учета бимомента,два тяжа'!$J137,'Геом. характеристики швеллера'!$A$6:$A$41,0)))+SIN(K$117*PI()/180)/(45*INDEX('Геом.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швеллера'!$A$6:$A$41,0))))</f>
        <v>66.099999999999994</v>
      </c>
      <c r="L137" s="53">
        <f>IF(((8*$E$17*$E$19/($E$12^2))/(COS(L$117*PI()/180)/(INDEX('Геом. характеристики швеллера'!$K$6:$K$41,MATCH('без учета бимомента,два тяжа'!$J137,'Геом. характеристики швеллера'!$A$6:$A$41,0)))+SIN(L$117*PI()/180)/(45*INDEX('Геом.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швеллера'!$A$6:$A$41,0)))&lt;((2*$E$17*$E$19/($E$12^2))/(5*COS(L$117*PI()/180)/(24*INDEX('Геом. характеристики швеллера'!$K$6:$K$41,MATCH('без учета бимомента,два тяжа'!$J137,'Геом. характеристики швеллера'!$A$6:$A$41,0)))+SIN(L$117*PI()/180)/(45*INDEX('Геом.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швеллера'!$A$6:$A$41,0))),((8*$E$17*$E$19/($E$12^2))/(COS(L$117*PI()/180)/(INDEX('Геом. характеристики швеллера'!$K$6:$K$41,MATCH('без учета бимомента,два тяжа'!$J137,'Геом. характеристики швеллера'!$A$6:$A$41,0)))+SIN(L$117*PI()/180)/(45*INDEX('Геом.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швеллера'!$A$6:$A$41,0))),((2*$E$17*$E$19/($E$12^2))/(5*COS(L$117*PI()/180)/(24*INDEX('Геом. характеристики швеллера'!$K$6:$K$41,MATCH('без учета бимомента,два тяжа'!$J137,'Геом. характеристики швеллера'!$A$6:$A$41,0)))+SIN(L$117*PI()/180)/(45*INDEX('Геом.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швеллера'!$A$6:$A$41,0))))</f>
        <v>65.859580862656784</v>
      </c>
      <c r="M137" s="53">
        <f>IF(((8*$E$17*$E$19/($E$12^2))/(COS(M$117*PI()/180)/(INDEX('Геом. характеристики швеллера'!$K$6:$K$41,MATCH('без учета бимомента,два тяжа'!$J137,'Геом. характеристики швеллера'!$A$6:$A$41,0)))+SIN(M$117*PI()/180)/(45*INDEX('Геом.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швеллера'!$A$6:$A$41,0)))&lt;((2*$E$17*$E$19/($E$12^2))/(5*COS(M$117*PI()/180)/(24*INDEX('Геом. характеристики швеллера'!$K$6:$K$41,MATCH('без учета бимомента,два тяжа'!$J137,'Геом. характеристики швеллера'!$A$6:$A$41,0)))+SIN(M$117*PI()/180)/(45*INDEX('Геом.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швеллера'!$A$6:$A$41,0))),((8*$E$17*$E$19/($E$12^2))/(COS(M$117*PI()/180)/(INDEX('Геом. характеристики швеллера'!$K$6:$K$41,MATCH('без учета бимомента,два тяжа'!$J137,'Геом. характеристики швеллера'!$A$6:$A$41,0)))+SIN(M$117*PI()/180)/(45*INDEX('Геом.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швеллера'!$A$6:$A$41,0))),((2*$E$17*$E$19/($E$12^2))/(5*COS(M$117*PI()/180)/(24*INDEX('Геом. характеристики швеллера'!$K$6:$K$41,MATCH('без учета бимомента,два тяжа'!$J137,'Геом. характеристики швеллера'!$A$6:$A$41,0)))+SIN(M$117*PI()/180)/(45*INDEX('Геом.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швеллера'!$A$6:$A$41,0))))</f>
        <v>66.16741315195155</v>
      </c>
      <c r="N137" s="53">
        <f>IF(((8*$E$17*$E$19/($E$12^2))/(COS(N$117*PI()/180)/(INDEX('Геом. характеристики швеллера'!$K$6:$K$41,MATCH('без учета бимомента,два тяжа'!$J137,'Геом. характеристики швеллера'!$A$6:$A$41,0)))+SIN(N$117*PI()/180)/(45*INDEX('Геом.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швеллера'!$A$6:$A$41,0)))&lt;((2*$E$17*$E$19/($E$12^2))/(5*COS(N$117*PI()/180)/(24*INDEX('Геом. характеристики швеллера'!$K$6:$K$41,MATCH('без учета бимомента,два тяжа'!$J137,'Геом. характеристики швеллера'!$A$6:$A$41,0)))+SIN(N$117*PI()/180)/(45*INDEX('Геом.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швеллера'!$A$6:$A$41,0))),((8*$E$17*$E$19/($E$12^2))/(COS(N$117*PI()/180)/(INDEX('Геом. характеристики швеллера'!$K$6:$K$41,MATCH('без учета бимомента,два тяжа'!$J137,'Геом. характеристики швеллера'!$A$6:$A$41,0)))+SIN(N$117*PI()/180)/(45*INDEX('Геом.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швеллера'!$A$6:$A$41,0))),((2*$E$17*$E$19/($E$12^2))/(5*COS(N$117*PI()/180)/(24*INDEX('Геом. характеристики швеллера'!$K$6:$K$41,MATCH('без учета бимомента,два тяжа'!$J137,'Геом. характеристики швеллера'!$A$6:$A$41,0)))+SIN(N$117*PI()/180)/(45*INDEX('Геом.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швеллера'!$A$6:$A$41,0))))</f>
        <v>67.035371532883914</v>
      </c>
      <c r="O137" s="53">
        <f>IF(((8*$E$17*$E$19/($E$12^2))/(COS(O$117*PI()/180)/(INDEX('Геом. характеристики швеллера'!$K$6:$K$41,MATCH('без учета бимомента,два тяжа'!$J137,'Геом. характеристики швеллера'!$A$6:$A$41,0)))+SIN(O$117*PI()/180)/(45*INDEX('Геом.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швеллера'!$A$6:$A$41,0)))&lt;((2*$E$17*$E$19/($E$12^2))/(5*COS(O$117*PI()/180)/(24*INDEX('Геом. характеристики швеллера'!$K$6:$K$41,MATCH('без учета бимомента,два тяжа'!$J137,'Геом. характеристики швеллера'!$A$6:$A$41,0)))+SIN(O$117*PI()/180)/(45*INDEX('Геом.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швеллера'!$A$6:$A$41,0))),((8*$E$17*$E$19/($E$12^2))/(COS(O$117*PI()/180)/(INDEX('Геом. характеристики швеллера'!$K$6:$K$41,MATCH('без учета бимомента,два тяжа'!$J137,'Геом. характеристики швеллера'!$A$6:$A$41,0)))+SIN(O$117*PI()/180)/(45*INDEX('Геом.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швеллера'!$A$6:$A$41,0))),((2*$E$17*$E$19/($E$12^2))/(5*COS(O$117*PI()/180)/(24*INDEX('Геом. характеристики швеллера'!$K$6:$K$41,MATCH('без учета бимомента,два тяжа'!$J137,'Геом. характеристики швеллера'!$A$6:$A$41,0)))+SIN(O$117*PI()/180)/(45*INDEX('Геом.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швеллера'!$A$6:$A$41,0))))</f>
        <v>68.497604739299561</v>
      </c>
      <c r="P137" s="53">
        <f>IF(((8*$E$17*$E$19/($E$12^2))/(COS(P$117*PI()/180)/(INDEX('Геом. характеристики швеллера'!$K$6:$K$41,MATCH('без учета бимомента,два тяжа'!$J137,'Геом. характеристики швеллера'!$A$6:$A$41,0)))+SIN(P$117*PI()/180)/(45*INDEX('Геом.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швеллера'!$A$6:$A$41,0)))&lt;((2*$E$17*$E$19/($E$12^2))/(5*COS(P$117*PI()/180)/(24*INDEX('Геом. характеристики швеллера'!$K$6:$K$41,MATCH('без учета бимомента,два тяжа'!$J137,'Геом. характеристики швеллера'!$A$6:$A$41,0)))+SIN(P$117*PI()/180)/(45*INDEX('Геом.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швеллера'!$A$6:$A$41,0))),((8*$E$17*$E$19/($E$12^2))/(COS(P$117*PI()/180)/(INDEX('Геом. характеристики швеллера'!$K$6:$K$41,MATCH('без учета бимомента,два тяжа'!$J137,'Геом. характеристики швеллера'!$A$6:$A$41,0)))+SIN(P$117*PI()/180)/(45*INDEX('Геом.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швеллера'!$A$6:$A$41,0))),((2*$E$17*$E$19/($E$12^2))/(5*COS(P$117*PI()/180)/(24*INDEX('Геом. характеристики швеллера'!$K$6:$K$41,MATCH('без учета бимомента,два тяжа'!$J137,'Геом. характеристики швеллера'!$A$6:$A$41,0)))+SIN(P$117*PI()/180)/(45*INDEX('Геом.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швеллера'!$A$6:$A$41,0))))</f>
        <v>70.613898441287404</v>
      </c>
      <c r="Q137" s="53">
        <f>IF(((8*$E$17*$E$19/($E$12^2))/(COS(Q$117*PI()/180)/(INDEX('Геом. характеристики швеллера'!$K$6:$K$41,MATCH('без учета бимомента,два тяжа'!$J137,'Геом. характеристики швеллера'!$A$6:$A$41,0)))+SIN(Q$117*PI()/180)/(45*INDEX('Геом.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швеллера'!$A$6:$A$41,0)))&lt;((2*$E$17*$E$19/($E$12^2))/(5*COS(Q$117*PI()/180)/(24*INDEX('Геом. характеристики швеллера'!$K$6:$K$41,MATCH('без учета бимомента,два тяжа'!$J137,'Геом. характеристики швеллера'!$A$6:$A$41,0)))+SIN(Q$117*PI()/180)/(45*INDEX('Геом.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швеллера'!$A$6:$A$41,0))),((8*$E$17*$E$19/($E$12^2))/(COS(Q$117*PI()/180)/(INDEX('Геом. характеристики швеллера'!$K$6:$K$41,MATCH('без учета бимомента,два тяжа'!$J137,'Геом. характеристики швеллера'!$A$6:$A$41,0)))+SIN(Q$117*PI()/180)/(45*INDEX('Геом.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швеллера'!$A$6:$A$41,0))),((2*$E$17*$E$19/($E$12^2))/(5*COS(Q$117*PI()/180)/(24*INDEX('Геом. характеристики швеллера'!$K$6:$K$41,MATCH('без учета бимомента,два тяжа'!$J137,'Геом. характеристики швеллера'!$A$6:$A$41,0)))+SIN(Q$117*PI()/180)/(45*INDEX('Геом. характеристики швеллера'!$O$6:$O$41,MATCH('без учета бимомента,два тяжа'!$J137,'Геом. характеристики швеллера'!$A$6:$A$41,0))))/10-INDEX('Геом. характеристики швеллера'!$I$6:$I$41,MATCH('без учета бимомента,два тяжа'!$J137,'Геом. характеристики швеллера'!$A$6:$A$41,0))))</f>
        <v>73.475901952200019</v>
      </c>
      <c r="R137" s="11"/>
      <c r="S137" s="11"/>
    </row>
    <row r="138" spans="1:19" ht="16.5" thickBot="1" x14ac:dyDescent="0.3">
      <c r="I138" s="11"/>
      <c r="J138" s="40" t="s">
        <v>195</v>
      </c>
      <c r="K138" s="53">
        <f>IF(((8*$E$17*$E$19/($E$12^2))/(COS(K$117*PI()/180)/(INDEX('Геом. характеристики швеллера'!$K$6:$K$41,MATCH('без учета бимомента,два тяжа'!$J138,'Геом. характеристики швеллера'!$A$6:$A$41,0)))+SIN(K$117*PI()/180)/(45*INDEX('Геом.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швеллера'!$A$6:$A$41,0)))&lt;((2*$E$17*$E$19/($E$12^2))/(5*COS(K$117*PI()/180)/(24*INDEX('Геом. характеристики швеллера'!$K$6:$K$41,MATCH('без учета бимомента,два тяжа'!$J138,'Геом. характеристики швеллера'!$A$6:$A$41,0)))+SIN(K$117*PI()/180)/(45*INDEX('Геом.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швеллера'!$A$6:$A$41,0))),((8*$E$17*$E$19/($E$12^2))/(COS(K$117*PI()/180)/(INDEX('Геом. характеристики швеллера'!$K$6:$K$41,MATCH('без учета бимомента,два тяжа'!$J138,'Геом. характеристики швеллера'!$A$6:$A$41,0)))+SIN(K$117*PI()/180)/(45*INDEX('Геом.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швеллера'!$A$6:$A$41,0))),((2*$E$17*$E$19/($E$12^2))/(5*COS(K$117*PI()/180)/(24*INDEX('Геом. характеристики швеллера'!$K$6:$K$41,MATCH('без учета бимомента,два тяжа'!$J138,'Геом. характеристики швеллера'!$A$6:$A$41,0)))+SIN(K$117*PI()/180)/(45*INDEX('Геом.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швеллера'!$A$6:$A$41,0))))</f>
        <v>100.95</v>
      </c>
      <c r="L138" s="53">
        <f>IF(((8*$E$17*$E$19/($E$12^2))/(COS(L$117*PI()/180)/(INDEX('Геом. характеристики швеллера'!$K$6:$K$41,MATCH('без учета бимомента,два тяжа'!$J138,'Геом. характеристики швеллера'!$A$6:$A$41,0)))+SIN(L$117*PI()/180)/(45*INDEX('Геом.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швеллера'!$A$6:$A$41,0)))&lt;((2*$E$17*$E$19/($E$12^2))/(5*COS(L$117*PI()/180)/(24*INDEX('Геом. характеристики швеллера'!$K$6:$K$41,MATCH('без учета бимомента,два тяжа'!$J138,'Геом. характеристики швеллера'!$A$6:$A$41,0)))+SIN(L$117*PI()/180)/(45*INDEX('Геом.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швеллера'!$A$6:$A$41,0))),((8*$E$17*$E$19/($E$12^2))/(COS(L$117*PI()/180)/(INDEX('Геом. характеристики швеллера'!$K$6:$K$41,MATCH('без учета бимомента,два тяжа'!$J138,'Геом. характеристики швеллера'!$A$6:$A$41,0)))+SIN(L$117*PI()/180)/(45*INDEX('Геом.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швеллера'!$A$6:$A$41,0))),((2*$E$17*$E$19/($E$12^2))/(5*COS(L$117*PI()/180)/(24*INDEX('Геом. характеристики швеллера'!$K$6:$K$41,MATCH('без учета бимомента,два тяжа'!$J138,'Геом. характеристики швеллера'!$A$6:$A$41,0)))+SIN(L$117*PI()/180)/(45*INDEX('Геом.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швеллера'!$A$6:$A$41,0))))</f>
        <v>99.94847097061259</v>
      </c>
      <c r="M138" s="53">
        <f>IF(((8*$E$17*$E$19/($E$12^2))/(COS(M$117*PI()/180)/(INDEX('Геом. характеристики швеллера'!$K$6:$K$41,MATCH('без учета бимомента,два тяжа'!$J138,'Геом. характеристики швеллера'!$A$6:$A$41,0)))+SIN(M$117*PI()/180)/(45*INDEX('Геом.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швеллера'!$A$6:$A$41,0)))&lt;((2*$E$17*$E$19/($E$12^2))/(5*COS(M$117*PI()/180)/(24*INDEX('Геом. характеристики швеллера'!$K$6:$K$41,MATCH('без учета бимомента,два тяжа'!$J138,'Геом. характеристики швеллера'!$A$6:$A$41,0)))+SIN(M$117*PI()/180)/(45*INDEX('Геом.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швеллера'!$A$6:$A$41,0))),((8*$E$17*$E$19/($E$12^2))/(COS(M$117*PI()/180)/(INDEX('Геом. характеристики швеллера'!$K$6:$K$41,MATCH('без учета бимомента,два тяжа'!$J138,'Геом. характеристики швеллера'!$A$6:$A$41,0)))+SIN(M$117*PI()/180)/(45*INDEX('Геом.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швеллера'!$A$6:$A$41,0))),((2*$E$17*$E$19/($E$12^2))/(5*COS(M$117*PI()/180)/(24*INDEX('Геом. характеристики швеллера'!$K$6:$K$41,MATCH('без учета бимомента,два тяжа'!$J138,'Геом. характеристики швеллера'!$A$6:$A$41,0)))+SIN(M$117*PI()/180)/(45*INDEX('Геом.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швеллера'!$A$6:$A$41,0))))</f>
        <v>99.770847863054613</v>
      </c>
      <c r="N138" s="53">
        <f>IF(((8*$E$17*$E$19/($E$12^2))/(COS(N$117*PI()/180)/(INDEX('Геом. характеристики швеллера'!$K$6:$K$41,MATCH('без учета бимомента,два тяжа'!$J138,'Геом. характеристики швеллера'!$A$6:$A$41,0)))+SIN(N$117*PI()/180)/(45*INDEX('Геом.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швеллера'!$A$6:$A$41,0)))&lt;((2*$E$17*$E$19/($E$12^2))/(5*COS(N$117*PI()/180)/(24*INDEX('Геом. характеристики швеллера'!$K$6:$K$41,MATCH('без учета бимомента,два тяжа'!$J138,'Геом. характеристики швеллера'!$A$6:$A$41,0)))+SIN(N$117*PI()/180)/(45*INDEX('Геом.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швеллера'!$A$6:$A$41,0))),((8*$E$17*$E$19/($E$12^2))/(COS(N$117*PI()/180)/(INDEX('Геом. характеристики швеллера'!$K$6:$K$41,MATCH('без учета бимомента,два тяжа'!$J138,'Геом. характеристики швеллера'!$A$6:$A$41,0)))+SIN(N$117*PI()/180)/(45*INDEX('Геом.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швеллера'!$A$6:$A$41,0))),((2*$E$17*$E$19/($E$12^2))/(5*COS(N$117*PI()/180)/(24*INDEX('Геом. характеристики швеллера'!$K$6:$K$41,MATCH('без учета бимомента,два тяжа'!$J138,'Геом. характеристики швеллера'!$A$6:$A$41,0)))+SIN(N$117*PI()/180)/(45*INDEX('Геом.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швеллера'!$A$6:$A$41,0))))</f>
        <v>100.41029583948539</v>
      </c>
      <c r="O138" s="53">
        <f>IF(((8*$E$17*$E$19/($E$12^2))/(COS(O$117*PI()/180)/(INDEX('Геом. характеристики швеллера'!$K$6:$K$41,MATCH('без учета бимомента,два тяжа'!$J138,'Геом. характеристики швеллера'!$A$6:$A$41,0)))+SIN(O$117*PI()/180)/(45*INDEX('Геом.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швеллера'!$A$6:$A$41,0)))&lt;((2*$E$17*$E$19/($E$12^2))/(5*COS(O$117*PI()/180)/(24*INDEX('Геом. характеристики швеллера'!$K$6:$K$41,MATCH('без учета бимомента,два тяжа'!$J138,'Геом. характеристики швеллера'!$A$6:$A$41,0)))+SIN(O$117*PI()/180)/(45*INDEX('Геом.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швеллера'!$A$6:$A$41,0))),((8*$E$17*$E$19/($E$12^2))/(COS(O$117*PI()/180)/(INDEX('Геом. характеристики швеллера'!$K$6:$K$41,MATCH('без учета бимомента,два тяжа'!$J138,'Геом. характеристики швеллера'!$A$6:$A$41,0)))+SIN(O$117*PI()/180)/(45*INDEX('Геом.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швеллера'!$A$6:$A$41,0))),((2*$E$17*$E$19/($E$12^2))/(5*COS(O$117*PI()/180)/(24*INDEX('Геом. характеристики швеллера'!$K$6:$K$41,MATCH('без учета бимомента,два тяжа'!$J138,'Геом. характеристики швеллера'!$A$6:$A$41,0)))+SIN(O$117*PI()/180)/(45*INDEX('Геом.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швеллера'!$A$6:$A$41,0))))</f>
        <v>101.89154967562217</v>
      </c>
      <c r="P138" s="53">
        <f>IF(((8*$E$17*$E$19/($E$12^2))/(COS(P$117*PI()/180)/(INDEX('Геом. характеристики швеллера'!$K$6:$K$41,MATCH('без учета бимомента,два тяжа'!$J138,'Геом. характеристики швеллера'!$A$6:$A$41,0)))+SIN(P$117*PI()/180)/(45*INDEX('Геом.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швеллера'!$A$6:$A$41,0)))&lt;((2*$E$17*$E$19/($E$12^2))/(5*COS(P$117*PI()/180)/(24*INDEX('Геом. характеристики швеллера'!$K$6:$K$41,MATCH('без учета бимомента,два тяжа'!$J138,'Геом. характеристики швеллера'!$A$6:$A$41,0)))+SIN(P$117*PI()/180)/(45*INDEX('Геом.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швеллера'!$A$6:$A$41,0))),((8*$E$17*$E$19/($E$12^2))/(COS(P$117*PI()/180)/(INDEX('Геом. характеристики швеллера'!$K$6:$K$41,MATCH('без учета бимомента,два тяжа'!$J138,'Геом. характеристики швеллера'!$A$6:$A$41,0)))+SIN(P$117*PI()/180)/(45*INDEX('Геом.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швеллера'!$A$6:$A$41,0))),((2*$E$17*$E$19/($E$12^2))/(5*COS(P$117*PI()/180)/(24*INDEX('Геом. характеристики швеллера'!$K$6:$K$41,MATCH('без учета бимомента,два тяжа'!$J138,'Геом. характеристики швеллера'!$A$6:$A$41,0)))+SIN(P$117*PI()/180)/(45*INDEX('Геом.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швеллера'!$A$6:$A$41,0))))</f>
        <v>99.815626133494774</v>
      </c>
      <c r="Q138" s="53">
        <f>IF(((8*$E$17*$E$19/($E$12^2))/(COS(Q$117*PI()/180)/(INDEX('Геом. характеристики швеллера'!$K$6:$K$41,MATCH('без учета бимомента,два тяжа'!$J138,'Геом. характеристики швеллера'!$A$6:$A$41,0)))+SIN(Q$117*PI()/180)/(45*INDEX('Геом.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швеллера'!$A$6:$A$41,0)))&lt;((2*$E$17*$E$19/($E$12^2))/(5*COS(Q$117*PI()/180)/(24*INDEX('Геом. характеристики швеллера'!$K$6:$K$41,MATCH('без учета бимомента,два тяжа'!$J138,'Геом. характеристики швеллера'!$A$6:$A$41,0)))+SIN(Q$117*PI()/180)/(45*INDEX('Геом.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швеллера'!$A$6:$A$41,0))),((8*$E$17*$E$19/($E$12^2))/(COS(Q$117*PI()/180)/(INDEX('Геом. характеристики швеллера'!$K$6:$K$41,MATCH('без учета бимомента,два тяжа'!$J138,'Геом. характеристики швеллера'!$A$6:$A$41,0)))+SIN(Q$117*PI()/180)/(45*INDEX('Геом.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швеллера'!$A$6:$A$41,0))),((2*$E$17*$E$19/($E$12^2))/(5*COS(Q$117*PI()/180)/(24*INDEX('Геом. характеристики швеллера'!$K$6:$K$41,MATCH('без учета бимомента,два тяжа'!$J138,'Геом. характеристики швеллера'!$A$6:$A$41,0)))+SIN(Q$117*PI()/180)/(45*INDEX('Геом. характеристики швеллера'!$O$6:$O$41,MATCH('без учета бимомента,два тяжа'!$J138,'Геом. характеристики швеллера'!$A$6:$A$41,0))))/10-INDEX('Геом. характеристики швеллера'!$I$6:$I$41,MATCH('без учета бимомента,два тяжа'!$J138,'Геом. характеристики швеллера'!$A$6:$A$41,0))))</f>
        <v>98.439081360585263</v>
      </c>
      <c r="R138" s="11"/>
      <c r="S138" s="11"/>
    </row>
    <row r="139" spans="1:19" ht="16.5" thickBot="1" x14ac:dyDescent="0.3">
      <c r="I139" s="11"/>
      <c r="J139" s="40" t="s">
        <v>196</v>
      </c>
      <c r="K139" s="53">
        <f>IF(((8*$E$17*$E$19/($E$12^2))/(COS(K$117*PI()/180)/(INDEX('Геом. характеристики швеллера'!$K$6:$K$41,MATCH('без учета бимомента,два тяжа'!$J139,'Геом. характеристики швеллера'!$A$6:$A$41,0)))+SIN(K$117*PI()/180)/(45*INDEX('Геом.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швеллера'!$A$6:$A$41,0)))&lt;((2*$E$17*$E$19/($E$12^2))/(5*COS(K$117*PI()/180)/(24*INDEX('Геом. характеристики швеллера'!$K$6:$K$41,MATCH('без учета бимомента,два тяжа'!$J139,'Геом. характеристики швеллера'!$A$6:$A$41,0)))+SIN(K$117*PI()/180)/(45*INDEX('Геом.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швеллера'!$A$6:$A$41,0))),((8*$E$17*$E$19/($E$12^2))/(COS(K$117*PI()/180)/(INDEX('Геом. характеристики швеллера'!$K$6:$K$41,MATCH('без учета бимомента,два тяжа'!$J139,'Геом. характеристики швеллера'!$A$6:$A$41,0)))+SIN(K$117*PI()/180)/(45*INDEX('Геом.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швеллера'!$A$6:$A$41,0))),((2*$E$17*$E$19/($E$12^2))/(5*COS(K$117*PI()/180)/(24*INDEX('Геом. характеристики швеллера'!$K$6:$K$41,MATCH('без учета бимомента,два тяжа'!$J139,'Геом. характеристики швеллера'!$A$6:$A$41,0)))+SIN(K$117*PI()/180)/(45*INDEX('Геом.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швеллера'!$A$6:$A$41,0))))</f>
        <v>158.92999999999998</v>
      </c>
      <c r="L139" s="53">
        <f>IF(((8*$E$17*$E$19/($E$12^2))/(COS(L$117*PI()/180)/(INDEX('Геом. характеристики швеллера'!$K$6:$K$41,MATCH('без учета бимомента,два тяжа'!$J139,'Геом. характеристики швеллера'!$A$6:$A$41,0)))+SIN(L$117*PI()/180)/(45*INDEX('Геом.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швеллера'!$A$6:$A$41,0)))&lt;((2*$E$17*$E$19/($E$12^2))/(5*COS(L$117*PI()/180)/(24*INDEX('Геом. характеристики швеллера'!$K$6:$K$41,MATCH('без учета бимомента,два тяжа'!$J139,'Геом. характеристики швеллера'!$A$6:$A$41,0)))+SIN(L$117*PI()/180)/(45*INDEX('Геом.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швеллера'!$A$6:$A$41,0))),((8*$E$17*$E$19/($E$12^2))/(COS(L$117*PI()/180)/(INDEX('Геом. характеристики швеллера'!$K$6:$K$41,MATCH('без учета бимомента,два тяжа'!$J139,'Геом. характеристики швеллера'!$A$6:$A$41,0)))+SIN(L$117*PI()/180)/(45*INDEX('Геом.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швеллера'!$A$6:$A$41,0))),((2*$E$17*$E$19/($E$12^2))/(5*COS(L$117*PI()/180)/(24*INDEX('Геом. характеристики швеллера'!$K$6:$K$41,MATCH('без учета бимомента,два тяжа'!$J139,'Геом. характеристики швеллера'!$A$6:$A$41,0)))+SIN(L$117*PI()/180)/(45*INDEX('Геом.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швеллера'!$A$6:$A$41,0))))</f>
        <v>158.03584894592194</v>
      </c>
      <c r="M139" s="53">
        <f>IF(((8*$E$17*$E$19/($E$12^2))/(COS(M$117*PI()/180)/(INDEX('Геом. характеристики швеллера'!$K$6:$K$41,MATCH('без учета бимомента,два тяжа'!$J139,'Геом. характеристики швеллера'!$A$6:$A$41,0)))+SIN(M$117*PI()/180)/(45*INDEX('Геом.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швеллера'!$A$6:$A$41,0)))&lt;((2*$E$17*$E$19/($E$12^2))/(5*COS(M$117*PI()/180)/(24*INDEX('Геом. характеристики швеллера'!$K$6:$K$41,MATCH('без учета бимомента,два тяжа'!$J139,'Геом. характеристики швеллера'!$A$6:$A$41,0)))+SIN(M$117*PI()/180)/(45*INDEX('Геом.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швеллера'!$A$6:$A$41,0))),((8*$E$17*$E$19/($E$12^2))/(COS(M$117*PI()/180)/(INDEX('Геом. характеристики швеллера'!$K$6:$K$41,MATCH('без учета бимомента,два тяжа'!$J139,'Геом. характеристики швеллера'!$A$6:$A$41,0)))+SIN(M$117*PI()/180)/(45*INDEX('Геом.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швеллера'!$A$6:$A$41,0))),((2*$E$17*$E$19/($E$12^2))/(5*COS(M$117*PI()/180)/(24*INDEX('Геом. характеристики швеллера'!$K$6:$K$41,MATCH('без учета бимомента,два тяжа'!$J139,'Геом. характеристики швеллера'!$A$6:$A$41,0)))+SIN(M$117*PI()/180)/(45*INDEX('Геом.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швеллера'!$A$6:$A$41,0))))</f>
        <v>158.41545667288091</v>
      </c>
      <c r="N139" s="53">
        <f>IF(((8*$E$17*$E$19/($E$12^2))/(COS(N$117*PI()/180)/(INDEX('Геом. характеристики швеллера'!$K$6:$K$41,MATCH('без учета бимомента,два тяжа'!$J139,'Геом. характеристики швеллера'!$A$6:$A$41,0)))+SIN(N$117*PI()/180)/(45*INDEX('Геом.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швеллера'!$A$6:$A$41,0)))&lt;((2*$E$17*$E$19/($E$12^2))/(5*COS(N$117*PI()/180)/(24*INDEX('Геом. характеристики швеллера'!$K$6:$K$41,MATCH('без учета бимомента,два тяжа'!$J139,'Геом. характеристики швеллера'!$A$6:$A$41,0)))+SIN(N$117*PI()/180)/(45*INDEX('Геом.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швеллера'!$A$6:$A$41,0))),((8*$E$17*$E$19/($E$12^2))/(COS(N$117*PI()/180)/(INDEX('Геом. характеристики швеллера'!$K$6:$K$41,MATCH('без учета бимомента,два тяжа'!$J139,'Геом. характеристики швеллера'!$A$6:$A$41,0)))+SIN(N$117*PI()/180)/(45*INDEX('Геом.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швеллера'!$A$6:$A$41,0))),((2*$E$17*$E$19/($E$12^2))/(5*COS(N$117*PI()/180)/(24*INDEX('Геом. характеристики швеллера'!$K$6:$K$41,MATCH('без учета бимомента,два тяжа'!$J139,'Геом. характеристики швеллера'!$A$6:$A$41,0)))+SIN(N$117*PI()/180)/(45*INDEX('Геом.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швеллера'!$A$6:$A$41,0))))</f>
        <v>160.08343591642708</v>
      </c>
      <c r="O139" s="53">
        <f>IF(((8*$E$17*$E$19/($E$12^2))/(COS(O$117*PI()/180)/(INDEX('Геом. характеристики швеллера'!$K$6:$K$41,MATCH('без учета бимомента,два тяжа'!$J139,'Геом. характеристики швеллера'!$A$6:$A$41,0)))+SIN(O$117*PI()/180)/(45*INDEX('Геом.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швеллера'!$A$6:$A$41,0)))&lt;((2*$E$17*$E$19/($E$12^2))/(5*COS(O$117*PI()/180)/(24*INDEX('Геом. характеристики швеллера'!$K$6:$K$41,MATCH('без учета бимомента,два тяжа'!$J139,'Геом. характеристики швеллера'!$A$6:$A$41,0)))+SIN(O$117*PI()/180)/(45*INDEX('Геом.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швеллера'!$A$6:$A$41,0))),((8*$E$17*$E$19/($E$12^2))/(COS(O$117*PI()/180)/(INDEX('Геом. характеристики швеллера'!$K$6:$K$41,MATCH('без учета бимомента,два тяжа'!$J139,'Геом. характеристики швеллера'!$A$6:$A$41,0)))+SIN(O$117*PI()/180)/(45*INDEX('Геом.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швеллера'!$A$6:$A$41,0))),((2*$E$17*$E$19/($E$12^2))/(5*COS(O$117*PI()/180)/(24*INDEX('Геом. характеристики швеллера'!$K$6:$K$41,MATCH('без учета бимомента,два тяжа'!$J139,'Геом. характеристики швеллера'!$A$6:$A$41,0)))+SIN(O$117*PI()/180)/(45*INDEX('Геом.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швеллера'!$A$6:$A$41,0))))</f>
        <v>163.10495413289345</v>
      </c>
      <c r="P139" s="53">
        <f>IF(((8*$E$17*$E$19/($E$12^2))/(COS(P$117*PI()/180)/(INDEX('Геом. характеристики швеллера'!$K$6:$K$41,MATCH('без учета бимомента,два тяжа'!$J139,'Геом. характеристики швеллера'!$A$6:$A$41,0)))+SIN(P$117*PI()/180)/(45*INDEX('Геом.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швеллера'!$A$6:$A$41,0)))&lt;((2*$E$17*$E$19/($E$12^2))/(5*COS(P$117*PI()/180)/(24*INDEX('Геом. характеристики швеллера'!$K$6:$K$41,MATCH('без учета бимомента,два тяжа'!$J139,'Геом. характеристики швеллера'!$A$6:$A$41,0)))+SIN(P$117*PI()/180)/(45*INDEX('Геом.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швеллера'!$A$6:$A$41,0))),((8*$E$17*$E$19/($E$12^2))/(COS(P$117*PI()/180)/(INDEX('Геом. характеристики швеллера'!$K$6:$K$41,MATCH('без учета бимомента,два тяжа'!$J139,'Геом. характеристики швеллера'!$A$6:$A$41,0)))+SIN(P$117*PI()/180)/(45*INDEX('Геом.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швеллера'!$A$6:$A$41,0))),((2*$E$17*$E$19/($E$12^2))/(5*COS(P$117*PI()/180)/(24*INDEX('Геом. характеристики швеллера'!$K$6:$K$41,MATCH('без учета бимомента,два тяжа'!$J139,'Геом. характеристики швеллера'!$A$6:$A$41,0)))+SIN(P$117*PI()/180)/(45*INDEX('Геом.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швеллера'!$A$6:$A$41,0))))</f>
        <v>167.60208523390952</v>
      </c>
      <c r="Q139" s="53">
        <f>IF(((8*$E$17*$E$19/($E$12^2))/(COS(Q$117*PI()/180)/(INDEX('Геом. характеристики швеллера'!$K$6:$K$41,MATCH('без учета бимомента,два тяжа'!$J139,'Геом. характеристики швеллера'!$A$6:$A$41,0)))+SIN(Q$117*PI()/180)/(45*INDEX('Геом.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швеллера'!$A$6:$A$41,0)))&lt;((2*$E$17*$E$19/($E$12^2))/(5*COS(Q$117*PI()/180)/(24*INDEX('Геом. характеристики швеллера'!$K$6:$K$41,MATCH('без учета бимомента,два тяжа'!$J139,'Геом. характеристики швеллера'!$A$6:$A$41,0)))+SIN(Q$117*PI()/180)/(45*INDEX('Геом.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швеллера'!$A$6:$A$41,0))),((8*$E$17*$E$19/($E$12^2))/(COS(Q$117*PI()/180)/(INDEX('Геом. характеристики швеллера'!$K$6:$K$41,MATCH('без учета бимомента,два тяжа'!$J139,'Геом. характеристики швеллера'!$A$6:$A$41,0)))+SIN(Q$117*PI()/180)/(45*INDEX('Геом.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швеллера'!$A$6:$A$41,0))),((2*$E$17*$E$19/($E$12^2))/(5*COS(Q$117*PI()/180)/(24*INDEX('Геом. характеристики швеллера'!$K$6:$K$41,MATCH('без учета бимомента,два тяжа'!$J139,'Геом. характеристики швеллера'!$A$6:$A$41,0)))+SIN(Q$117*PI()/180)/(45*INDEX('Геом. характеристики швеллера'!$O$6:$O$41,MATCH('без учета бимомента,два тяжа'!$J139,'Геом. характеристики швеллера'!$A$6:$A$41,0))))/10-INDEX('Геом. характеристики швеллера'!$I$6:$I$41,MATCH('без учета бимомента,два тяжа'!$J139,'Геом. характеристики швеллера'!$A$6:$A$41,0))))</f>
        <v>171.12343550533086</v>
      </c>
      <c r="R139" s="11"/>
      <c r="S139" s="11"/>
    </row>
    <row r="140" spans="1:19" ht="16.5" thickBot="1" x14ac:dyDescent="0.3">
      <c r="A140" s="2" t="s">
        <v>275</v>
      </c>
      <c r="J140" s="40" t="s">
        <v>197</v>
      </c>
      <c r="K140" s="53">
        <f>IF(((8*$E$17*$E$19/($E$12^2))/(COS(K$117*PI()/180)/(INDEX('Геом. характеристики швеллера'!$K$6:$K$41,MATCH('без учета бимомента,два тяжа'!$J140,'Геом. характеристики швеллера'!$A$6:$A$41,0)))+SIN(K$117*PI()/180)/(45*INDEX('Геом.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швеллера'!$A$6:$A$41,0)))&lt;((2*$E$17*$E$19/($E$12^2))/(5*COS(K$117*PI()/180)/(24*INDEX('Геом. характеристики швеллера'!$K$6:$K$41,MATCH('без учета бимомента,два тяжа'!$J140,'Геом. характеристики швеллера'!$A$6:$A$41,0)))+SIN(K$117*PI()/180)/(45*INDEX('Геом.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швеллера'!$A$6:$A$41,0))),((8*$E$17*$E$19/($E$12^2))/(COS(K$117*PI()/180)/(INDEX('Геом. характеристики швеллера'!$K$6:$K$41,MATCH('без учета бимомента,два тяжа'!$J140,'Геом. характеристики швеллера'!$A$6:$A$41,0)))+SIN(K$117*PI()/180)/(45*INDEX('Геом.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швеллера'!$A$6:$A$41,0))),((2*$E$17*$E$19/($E$12^2))/(5*COS(K$117*PI()/180)/(24*INDEX('Геом. характеристики швеллера'!$K$6:$K$41,MATCH('без учета бимомента,два тяжа'!$J140,'Геом. характеристики швеллера'!$A$6:$A$41,0)))+SIN(K$117*PI()/180)/(45*INDEX('Геом.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швеллера'!$A$6:$A$41,0))))</f>
        <v>233.44</v>
      </c>
      <c r="L140" s="53">
        <f>IF(((8*$E$17*$E$19/($E$12^2))/(COS(L$117*PI()/180)/(INDEX('Геом. характеристики швеллера'!$K$6:$K$41,MATCH('без учета бимомента,два тяжа'!$J140,'Геом. характеристики швеллера'!$A$6:$A$41,0)))+SIN(L$117*PI()/180)/(45*INDEX('Геом.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швеллера'!$A$6:$A$41,0)))&lt;((2*$E$17*$E$19/($E$12^2))/(5*COS(L$117*PI()/180)/(24*INDEX('Геом. характеристики швеллера'!$K$6:$K$41,MATCH('без учета бимомента,два тяжа'!$J140,'Геом. характеристики швеллера'!$A$6:$A$41,0)))+SIN(L$117*PI()/180)/(45*INDEX('Геом.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швеллера'!$A$6:$A$41,0))),((8*$E$17*$E$19/($E$12^2))/(COS(L$117*PI()/180)/(INDEX('Геом. характеристики швеллера'!$K$6:$K$41,MATCH('без учета бимомента,два тяжа'!$J140,'Геом. характеристики швеллера'!$A$6:$A$41,0)))+SIN(L$117*PI()/180)/(45*INDEX('Геом.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швеллера'!$A$6:$A$41,0))),((2*$E$17*$E$19/($E$12^2))/(5*COS(L$117*PI()/180)/(24*INDEX('Геом. характеристики швеллера'!$K$6:$K$41,MATCH('без учета бимомента,два тяжа'!$J140,'Геом. характеристики швеллера'!$A$6:$A$41,0)))+SIN(L$117*PI()/180)/(45*INDEX('Геом.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швеллера'!$A$6:$A$41,0))))</f>
        <v>231.93904997293939</v>
      </c>
      <c r="M140" s="53">
        <f>IF(((8*$E$17*$E$19/($E$12^2))/(COS(M$117*PI()/180)/(INDEX('Геом. характеристики швеллера'!$K$6:$K$41,MATCH('без учета бимомента,два тяжа'!$J140,'Геом. характеристики швеллера'!$A$6:$A$41,0)))+SIN(M$117*PI()/180)/(45*INDEX('Геом.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швеллера'!$A$6:$A$41,0)))&lt;((2*$E$17*$E$19/($E$12^2))/(5*COS(M$117*PI()/180)/(24*INDEX('Геом. характеристики швеллера'!$K$6:$K$41,MATCH('без учета бимомента,два тяжа'!$J140,'Геом. характеристики швеллера'!$A$6:$A$41,0)))+SIN(M$117*PI()/180)/(45*INDEX('Геом.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швеллера'!$A$6:$A$41,0))),((8*$E$17*$E$19/($E$12^2))/(COS(M$117*PI()/180)/(INDEX('Геом. характеристики швеллера'!$K$6:$K$41,MATCH('без учета бимомента,два тяжа'!$J140,'Геом. характеристики швеллера'!$A$6:$A$41,0)))+SIN(M$117*PI()/180)/(45*INDEX('Геом.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швеллера'!$A$6:$A$41,0))),((2*$E$17*$E$19/($E$12^2))/(5*COS(M$117*PI()/180)/(24*INDEX('Геом. характеристики швеллера'!$K$6:$K$41,MATCH('без учета бимомента,два тяжа'!$J140,'Геом. характеристики швеллера'!$A$6:$A$41,0)))+SIN(M$117*PI()/180)/(45*INDEX('Геом.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швеллера'!$A$6:$A$41,0))))</f>
        <v>232.29219937804297</v>
      </c>
      <c r="N140" s="53">
        <f>IF(((8*$E$17*$E$19/($E$12^2))/(COS(N$117*PI()/180)/(INDEX('Геом. характеристики швеллера'!$K$6:$K$41,MATCH('без учета бимомента,два тяжа'!$J140,'Геом. характеристики швеллера'!$A$6:$A$41,0)))+SIN(N$117*PI()/180)/(45*INDEX('Геом.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швеллера'!$A$6:$A$41,0)))&lt;((2*$E$17*$E$19/($E$12^2))/(5*COS(N$117*PI()/180)/(24*INDEX('Геом. характеристики швеллера'!$K$6:$K$41,MATCH('без учета бимомента,два тяжа'!$J140,'Геом. характеристики швеллера'!$A$6:$A$41,0)))+SIN(N$117*PI()/180)/(45*INDEX('Геом.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швеллера'!$A$6:$A$41,0))),((8*$E$17*$E$19/($E$12^2))/(COS(N$117*PI()/180)/(INDEX('Геом. характеристики швеллера'!$K$6:$K$41,MATCH('без учета бимомента,два тяжа'!$J140,'Геом. характеристики швеллера'!$A$6:$A$41,0)))+SIN(N$117*PI()/180)/(45*INDEX('Геом.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швеллера'!$A$6:$A$41,0))),((2*$E$17*$E$19/($E$12^2))/(5*COS(N$117*PI()/180)/(24*INDEX('Геом. характеристики швеллера'!$K$6:$K$41,MATCH('без учета бимомента,два тяжа'!$J140,'Геом. характеристики швеллера'!$A$6:$A$41,0)))+SIN(N$117*PI()/180)/(45*INDEX('Геом.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швеллера'!$A$6:$A$41,0))))</f>
        <v>234.51303581788511</v>
      </c>
      <c r="O140" s="53">
        <f>IF(((8*$E$17*$E$19/($E$12^2))/(COS(O$117*PI()/180)/(INDEX('Геом. характеристики швеллера'!$K$6:$K$41,MATCH('без учета бимомента,два тяжа'!$J140,'Геом. характеристики швеллера'!$A$6:$A$41,0)))+SIN(O$117*PI()/180)/(45*INDEX('Геом.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швеллера'!$A$6:$A$41,0)))&lt;((2*$E$17*$E$19/($E$12^2))/(5*COS(O$117*PI()/180)/(24*INDEX('Геом. характеристики швеллера'!$K$6:$K$41,MATCH('без учета бимомента,два тяжа'!$J140,'Геом. характеристики швеллера'!$A$6:$A$41,0)))+SIN(O$117*PI()/180)/(45*INDEX('Геом.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швеллера'!$A$6:$A$41,0))),((8*$E$17*$E$19/($E$12^2))/(COS(O$117*PI()/180)/(INDEX('Геом. характеристики швеллера'!$K$6:$K$41,MATCH('без учета бимомента,два тяжа'!$J140,'Геом. характеристики швеллера'!$A$6:$A$41,0)))+SIN(O$117*PI()/180)/(45*INDEX('Геом.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швеллера'!$A$6:$A$41,0))),((2*$E$17*$E$19/($E$12^2))/(5*COS(O$117*PI()/180)/(24*INDEX('Геом. характеристики швеллера'!$K$6:$K$41,MATCH('без учета бимомента,два тяжа'!$J140,'Геом. характеристики швеллера'!$A$6:$A$41,0)))+SIN(O$117*PI()/180)/(45*INDEX('Геом.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швеллера'!$A$6:$A$41,0))))</f>
        <v>238.68811112437828</v>
      </c>
      <c r="P140" s="53">
        <f>IF(((8*$E$17*$E$19/($E$12^2))/(COS(P$117*PI()/180)/(INDEX('Геом. характеристики швеллера'!$K$6:$K$41,MATCH('без учета бимомента,два тяжа'!$J140,'Геом. характеристики швеллера'!$A$6:$A$41,0)))+SIN(P$117*PI()/180)/(45*INDEX('Геом.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швеллера'!$A$6:$A$41,0)))&lt;((2*$E$17*$E$19/($E$12^2))/(5*COS(P$117*PI()/180)/(24*INDEX('Геом. характеристики швеллера'!$K$6:$K$41,MATCH('без учета бимомента,два тяжа'!$J140,'Геом. характеристики швеллера'!$A$6:$A$41,0)))+SIN(P$117*PI()/180)/(45*INDEX('Геом.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швеллера'!$A$6:$A$41,0))),((8*$E$17*$E$19/($E$12^2))/(COS(P$117*PI()/180)/(INDEX('Геом. характеристики швеллера'!$K$6:$K$41,MATCH('без учета бимомента,два тяжа'!$J140,'Геом. характеристики швеллера'!$A$6:$A$41,0)))+SIN(P$117*PI()/180)/(45*INDEX('Геом.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швеллера'!$A$6:$A$41,0))),((2*$E$17*$E$19/($E$12^2))/(5*COS(P$117*PI()/180)/(24*INDEX('Геом. характеристики швеллера'!$K$6:$K$41,MATCH('без учета бимомента,два тяжа'!$J140,'Геом. характеристики швеллера'!$A$6:$A$41,0)))+SIN(P$117*PI()/180)/(45*INDEX('Геом.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швеллера'!$A$6:$A$41,0))))</f>
        <v>244.98534643158874</v>
      </c>
      <c r="Q140" s="53">
        <f>IF(((8*$E$17*$E$19/($E$12^2))/(COS(Q$117*PI()/180)/(INDEX('Геом. характеристики швеллера'!$K$6:$K$41,MATCH('без учета бимомента,два тяжа'!$J140,'Геом. характеристики швеллера'!$A$6:$A$41,0)))+SIN(Q$117*PI()/180)/(45*INDEX('Геом.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швеллера'!$A$6:$A$41,0)))&lt;((2*$E$17*$E$19/($E$12^2))/(5*COS(Q$117*PI()/180)/(24*INDEX('Геом. характеристики швеллера'!$K$6:$K$41,MATCH('без учета бимомента,два тяжа'!$J140,'Геом. характеристики швеллера'!$A$6:$A$41,0)))+SIN(Q$117*PI()/180)/(45*INDEX('Геом.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швеллера'!$A$6:$A$41,0))),((8*$E$17*$E$19/($E$12^2))/(COS(Q$117*PI()/180)/(INDEX('Геом. характеристики швеллера'!$K$6:$K$41,MATCH('без учета бимомента,два тяжа'!$J140,'Геом. характеристики швеллера'!$A$6:$A$41,0)))+SIN(Q$117*PI()/180)/(45*INDEX('Геом.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швеллера'!$A$6:$A$41,0))),((2*$E$17*$E$19/($E$12^2))/(5*COS(Q$117*PI()/180)/(24*INDEX('Геом. характеристики швеллера'!$K$6:$K$41,MATCH('без учета бимомента,два тяжа'!$J140,'Геом. характеристики швеллера'!$A$6:$A$41,0)))+SIN(Q$117*PI()/180)/(45*INDEX('Геом. характеристики швеллера'!$O$6:$O$41,MATCH('без учета бимомента,два тяжа'!$J140,'Геом. характеристики швеллера'!$A$6:$A$41,0))))/10-INDEX('Геом. характеристики швеллера'!$I$6:$I$41,MATCH('без учета бимомента,два тяжа'!$J140,'Геом. характеристики швеллера'!$A$6:$A$41,0))))</f>
        <v>245.9669081084626</v>
      </c>
    </row>
    <row r="141" spans="1:19" ht="16.5" thickBot="1" x14ac:dyDescent="0.3">
      <c r="J141" s="40" t="s">
        <v>200</v>
      </c>
      <c r="K141" s="53">
        <f>IF(((8*$E$17*$E$19/($E$12^2))/(COS(K$117*PI()/180)/(INDEX('Геом. характеристики швеллера'!$K$6:$K$41,MATCH('без учета бимомента,два тяжа'!$J141,'Геом. характеристики швеллера'!$A$6:$A$41,0)))+SIN(K$117*PI()/180)/(45*INDEX('Геом.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швеллера'!$A$6:$A$41,0)))&lt;((2*$E$17*$E$19/($E$12^2))/(5*COS(K$117*PI()/180)/(24*INDEX('Геом. характеристики швеллера'!$K$6:$K$41,MATCH('без учета бимомента,два тяжа'!$J141,'Геом. характеристики швеллера'!$A$6:$A$41,0)))+SIN(K$117*PI()/180)/(45*INDEX('Геом.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швеллера'!$A$6:$A$41,0))),((8*$E$17*$E$19/($E$12^2))/(COS(K$117*PI()/180)/(INDEX('Геом. характеристики швеллера'!$K$6:$K$41,MATCH('без учета бимомента,два тяжа'!$J141,'Геом. характеристики швеллера'!$A$6:$A$41,0)))+SIN(K$117*PI()/180)/(45*INDEX('Геом.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швеллера'!$A$6:$A$41,0))),((2*$E$17*$E$19/($E$12^2))/(5*COS(K$117*PI()/180)/(24*INDEX('Геом. характеристики швеллера'!$K$6:$K$41,MATCH('без учета бимомента,два тяжа'!$J141,'Геом. характеристики швеллера'!$A$6:$A$41,0)))+SIN(K$117*PI()/180)/(45*INDEX('Геом.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швеллера'!$A$6:$A$41,0))))</f>
        <v>325.62</v>
      </c>
      <c r="L141" s="53">
        <f>IF(((8*$E$17*$E$19/($E$12^2))/(COS(L$117*PI()/180)/(INDEX('Геом. характеристики швеллера'!$K$6:$K$41,MATCH('без учета бимомента,два тяжа'!$J141,'Геом. характеристики швеллера'!$A$6:$A$41,0)))+SIN(L$117*PI()/180)/(45*INDEX('Геом.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швеллера'!$A$6:$A$41,0)))&lt;((2*$E$17*$E$19/($E$12^2))/(5*COS(L$117*PI()/180)/(24*INDEX('Геом. характеристики швеллера'!$K$6:$K$41,MATCH('без учета бимомента,два тяжа'!$J141,'Геом. характеристики швеллера'!$A$6:$A$41,0)))+SIN(L$117*PI()/180)/(45*INDEX('Геом.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швеллера'!$A$6:$A$41,0))),((8*$E$17*$E$19/($E$12^2))/(COS(L$117*PI()/180)/(INDEX('Геом. характеристики швеллера'!$K$6:$K$41,MATCH('без учета бимомента,два тяжа'!$J141,'Геом. характеристики швеллера'!$A$6:$A$41,0)))+SIN(L$117*PI()/180)/(45*INDEX('Геом.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швеллера'!$A$6:$A$41,0))),((2*$E$17*$E$19/($E$12^2))/(5*COS(L$117*PI()/180)/(24*INDEX('Геом. характеристики швеллера'!$K$6:$K$41,MATCH('без учета бимомента,два тяжа'!$J141,'Геом. характеристики швеллера'!$A$6:$A$41,0)))+SIN(L$117*PI()/180)/(45*INDEX('Геом.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швеллера'!$A$6:$A$41,0))))</f>
        <v>323.34950224840884</v>
      </c>
      <c r="M141" s="53">
        <f>IF(((8*$E$17*$E$19/($E$12^2))/(COS(M$117*PI()/180)/(INDEX('Геом. характеристики швеллера'!$K$6:$K$41,MATCH('без учета бимомента,два тяжа'!$J141,'Геом. характеристики швеллера'!$A$6:$A$41,0)))+SIN(M$117*PI()/180)/(45*INDEX('Геом.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швеллера'!$A$6:$A$41,0)))&lt;((2*$E$17*$E$19/($E$12^2))/(5*COS(M$117*PI()/180)/(24*INDEX('Геом. характеристики швеллера'!$K$6:$K$41,MATCH('без учета бимомента,два тяжа'!$J141,'Геом. характеристики швеллера'!$A$6:$A$41,0)))+SIN(M$117*PI()/180)/(45*INDEX('Геом.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швеллера'!$A$6:$A$41,0))),((8*$E$17*$E$19/($E$12^2))/(COS(M$117*PI()/180)/(INDEX('Геом. характеристики швеллера'!$K$6:$K$41,MATCH('без учета бимомента,два тяжа'!$J141,'Геом. характеристики швеллера'!$A$6:$A$41,0)))+SIN(M$117*PI()/180)/(45*INDEX('Геом.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швеллера'!$A$6:$A$41,0))),((2*$E$17*$E$19/($E$12^2))/(5*COS(M$117*PI()/180)/(24*INDEX('Геом. характеристики швеллера'!$K$6:$K$41,MATCH('без учета бимомента,два тяжа'!$J141,'Геом. характеристики швеллера'!$A$6:$A$41,0)))+SIN(M$117*PI()/180)/(45*INDEX('Геом.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швеллера'!$A$6:$A$41,0))))</f>
        <v>323.6490224848265</v>
      </c>
      <c r="N141" s="53">
        <f>IF(((8*$E$17*$E$19/($E$12^2))/(COS(N$117*PI()/180)/(INDEX('Геом. характеристики швеллера'!$K$6:$K$41,MATCH('без учета бимомента,два тяжа'!$J141,'Геом. характеристики швеллера'!$A$6:$A$41,0)))+SIN(N$117*PI()/180)/(45*INDEX('Геом.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швеллера'!$A$6:$A$41,0)))&lt;((2*$E$17*$E$19/($E$12^2))/(5*COS(N$117*PI()/180)/(24*INDEX('Геом. характеристики швеллера'!$K$6:$K$41,MATCH('без учета бимомента,два тяжа'!$J141,'Геом. характеристики швеллера'!$A$6:$A$41,0)))+SIN(N$117*PI()/180)/(45*INDEX('Геом.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швеллера'!$A$6:$A$41,0))),((8*$E$17*$E$19/($E$12^2))/(COS(N$117*PI()/180)/(INDEX('Геом. характеристики швеллера'!$K$6:$K$41,MATCH('без учета бимомента,два тяжа'!$J141,'Геом. характеристики швеллера'!$A$6:$A$41,0)))+SIN(N$117*PI()/180)/(45*INDEX('Геом.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швеллера'!$A$6:$A$41,0))),((2*$E$17*$E$19/($E$12^2))/(5*COS(N$117*PI()/180)/(24*INDEX('Геом. характеристики швеллера'!$K$6:$K$41,MATCH('без учета бимомента,два тяжа'!$J141,'Геом. характеристики швеллера'!$A$6:$A$41,0)))+SIN(N$117*PI()/180)/(45*INDEX('Геом.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швеллера'!$A$6:$A$41,0))))</f>
        <v>326.5300824629868</v>
      </c>
      <c r="O141" s="53">
        <f>IF(((8*$E$17*$E$19/($E$12^2))/(COS(O$117*PI()/180)/(INDEX('Геом. характеристики швеллера'!$K$6:$K$41,MATCH('без учета бимомента,два тяжа'!$J141,'Геом. характеристики швеллера'!$A$6:$A$41,0)))+SIN(O$117*PI()/180)/(45*INDEX('Геом.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швеллера'!$A$6:$A$41,0)))&lt;((2*$E$17*$E$19/($E$12^2))/(5*COS(O$117*PI()/180)/(24*INDEX('Геом. характеристики швеллера'!$K$6:$K$41,MATCH('без учета бимомента,два тяжа'!$J141,'Геом. характеристики швеллера'!$A$6:$A$41,0)))+SIN(O$117*PI()/180)/(45*INDEX('Геом.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швеллера'!$A$6:$A$41,0))),((8*$E$17*$E$19/($E$12^2))/(COS(O$117*PI()/180)/(INDEX('Геом. характеристики швеллера'!$K$6:$K$41,MATCH('без учета бимомента,два тяжа'!$J141,'Геом. характеристики швеллера'!$A$6:$A$41,0)))+SIN(O$117*PI()/180)/(45*INDEX('Геом.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швеллера'!$A$6:$A$41,0))),((2*$E$17*$E$19/($E$12^2))/(5*COS(O$117*PI()/180)/(24*INDEX('Геом. характеристики швеллера'!$K$6:$K$41,MATCH('без учета бимомента,два тяжа'!$J141,'Геом. характеристики швеллера'!$A$6:$A$41,0)))+SIN(O$117*PI()/180)/(45*INDEX('Геом.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швеллера'!$A$6:$A$41,0))))</f>
        <v>332.10478647798487</v>
      </c>
      <c r="P141" s="53">
        <f>IF(((8*$E$17*$E$19/($E$12^2))/(COS(P$117*PI()/180)/(INDEX('Геом. характеристики швеллера'!$K$6:$K$41,MATCH('без учета бимомента,два тяжа'!$J141,'Геом. характеристики швеллера'!$A$6:$A$41,0)))+SIN(P$117*PI()/180)/(45*INDEX('Геом.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швеллера'!$A$6:$A$41,0)))&lt;((2*$E$17*$E$19/($E$12^2))/(5*COS(P$117*PI()/180)/(24*INDEX('Геом. характеристики швеллера'!$K$6:$K$41,MATCH('без учета бимомента,два тяжа'!$J141,'Геом. характеристики швеллера'!$A$6:$A$41,0)))+SIN(P$117*PI()/180)/(45*INDEX('Геом.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швеллера'!$A$6:$A$41,0))),((8*$E$17*$E$19/($E$12^2))/(COS(P$117*PI()/180)/(INDEX('Геом. характеристики швеллера'!$K$6:$K$41,MATCH('без учета бимомента,два тяжа'!$J141,'Геом. характеристики швеллера'!$A$6:$A$41,0)))+SIN(P$117*PI()/180)/(45*INDEX('Геом.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швеллера'!$A$6:$A$41,0))),((2*$E$17*$E$19/($E$12^2))/(5*COS(P$117*PI()/180)/(24*INDEX('Геом. характеристики швеллера'!$K$6:$K$41,MATCH('без учета бимомента,два тяжа'!$J141,'Геом. характеристики швеллера'!$A$6:$A$41,0)))+SIN(P$117*PI()/180)/(45*INDEX('Геом.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швеллера'!$A$6:$A$41,0))))</f>
        <v>339.60168469777119</v>
      </c>
      <c r="Q141" s="53">
        <f>IF(((8*$E$17*$E$19/($E$12^2))/(COS(Q$117*PI()/180)/(INDEX('Геом. характеристики швеллера'!$K$6:$K$41,MATCH('без учета бимомента,два тяжа'!$J141,'Геом. характеристики швеллера'!$A$6:$A$41,0)))+SIN(Q$117*PI()/180)/(45*INDEX('Геом.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швеллера'!$A$6:$A$41,0)))&lt;((2*$E$17*$E$19/($E$12^2))/(5*COS(Q$117*PI()/180)/(24*INDEX('Геом. характеристики швеллера'!$K$6:$K$41,MATCH('без учета бимомента,два тяжа'!$J141,'Геом. характеристики швеллера'!$A$6:$A$41,0)))+SIN(Q$117*PI()/180)/(45*INDEX('Геом.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швеллера'!$A$6:$A$41,0))),((8*$E$17*$E$19/($E$12^2))/(COS(Q$117*PI()/180)/(INDEX('Геом. характеристики швеллера'!$K$6:$K$41,MATCH('без учета бимомента,два тяжа'!$J141,'Геом. характеристики швеллера'!$A$6:$A$41,0)))+SIN(Q$117*PI()/180)/(45*INDEX('Геом.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швеллера'!$A$6:$A$41,0))),((2*$E$17*$E$19/($E$12^2))/(5*COS(Q$117*PI()/180)/(24*INDEX('Геом. характеристики швеллера'!$K$6:$K$41,MATCH('без учета бимомента,два тяжа'!$J141,'Геом. характеристики швеллера'!$A$6:$A$41,0)))+SIN(Q$117*PI()/180)/(45*INDEX('Геом. характеристики швеллера'!$O$6:$O$41,MATCH('без учета бимомента,два тяжа'!$J141,'Геом. характеристики швеллера'!$A$6:$A$41,0))))/10-INDEX('Геом. характеристики швеллера'!$I$6:$I$41,MATCH('без учета бимомента,два тяжа'!$J141,'Геом. характеристики швеллера'!$A$6:$A$41,0))))</f>
        <v>338.15312809040034</v>
      </c>
    </row>
    <row r="142" spans="1:19" ht="16.5" thickBot="1" x14ac:dyDescent="0.3">
      <c r="C142" s="79" t="s">
        <v>276</v>
      </c>
      <c r="D142" s="2">
        <f>C88/(B144*E24/100)</f>
        <v>62.63147889301608</v>
      </c>
      <c r="E142" s="2" t="s">
        <v>277</v>
      </c>
      <c r="J142" s="40" t="s">
        <v>202</v>
      </c>
      <c r="K142" s="53">
        <f>IF(((8*$E$17*$E$19/($E$12^2))/(COS(K$117*PI()/180)/(INDEX('Геом. характеристики швеллера'!$K$6:$K$41,MATCH('без учета бимомента,два тяжа'!$J142,'Геом. характеристики швеллера'!$A$6:$A$41,0)))+SIN(K$117*PI()/180)/(45*INDEX('Геом.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швеллера'!$A$6:$A$41,0)))&lt;((2*$E$17*$E$19/($E$12^2))/(5*COS(K$117*PI()/180)/(24*INDEX('Геом. характеристики швеллера'!$K$6:$K$41,MATCH('без учета бимомента,два тяжа'!$J142,'Геом. характеристики швеллера'!$A$6:$A$41,0)))+SIN(K$117*PI()/180)/(45*INDEX('Геом.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швеллера'!$A$6:$A$41,0))),((8*$E$17*$E$19/($E$12^2))/(COS(K$117*PI()/180)/(INDEX('Геом. характеристики швеллера'!$K$6:$K$41,MATCH('без учета бимомента,два тяжа'!$J142,'Геом. характеристики швеллера'!$A$6:$A$41,0)))+SIN(K$117*PI()/180)/(45*INDEX('Геом.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швеллера'!$A$6:$A$41,0))),((2*$E$17*$E$19/($E$12^2))/(5*COS(K$117*PI()/180)/(24*INDEX('Геом. характеристики швеллера'!$K$6:$K$41,MATCH('без учета бимомента,два тяжа'!$J142,'Геом. характеристики швеллера'!$A$6:$A$41,0)))+SIN(K$117*PI()/180)/(45*INDEX('Геом.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швеллера'!$A$6:$A$41,0))))</f>
        <v>436.03999999999996</v>
      </c>
      <c r="L142" s="53">
        <f>IF(((8*$E$17*$E$19/($E$12^2))/(COS(L$117*PI()/180)/(INDEX('Геом. характеристики швеллера'!$K$6:$K$41,MATCH('без учета бимомента,два тяжа'!$J142,'Геом. характеристики швеллера'!$A$6:$A$41,0)))+SIN(L$117*PI()/180)/(45*INDEX('Геом.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швеллера'!$A$6:$A$41,0)))&lt;((2*$E$17*$E$19/($E$12^2))/(5*COS(L$117*PI()/180)/(24*INDEX('Геом. характеристики швеллера'!$K$6:$K$41,MATCH('без учета бимомента,два тяжа'!$J142,'Геом. характеристики швеллера'!$A$6:$A$41,0)))+SIN(L$117*PI()/180)/(45*INDEX('Геом.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швеллера'!$A$6:$A$41,0))),((8*$E$17*$E$19/($E$12^2))/(COS(L$117*PI()/180)/(INDEX('Геом. характеристики швеллера'!$K$6:$K$41,MATCH('без учета бимомента,два тяжа'!$J142,'Геом. характеристики швеллера'!$A$6:$A$41,0)))+SIN(L$117*PI()/180)/(45*INDEX('Геом.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швеллера'!$A$6:$A$41,0))),((2*$E$17*$E$19/($E$12^2))/(5*COS(L$117*PI()/180)/(24*INDEX('Геом. характеристики швеллера'!$K$6:$K$41,MATCH('без учета бимомента,два тяжа'!$J142,'Геом. характеристики швеллера'!$A$6:$A$41,0)))+SIN(L$117*PI()/180)/(45*INDEX('Геом.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швеллера'!$A$6:$A$41,0))))</f>
        <v>432.78939628586244</v>
      </c>
      <c r="M142" s="53">
        <f>IF(((8*$E$17*$E$19/($E$12^2))/(COS(M$117*PI()/180)/(INDEX('Геом. характеристики швеллера'!$K$6:$K$41,MATCH('без учета бимомента,два тяжа'!$J142,'Геом. характеристики швеллера'!$A$6:$A$41,0)))+SIN(M$117*PI()/180)/(45*INDEX('Геом.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швеллера'!$A$6:$A$41,0)))&lt;((2*$E$17*$E$19/($E$12^2))/(5*COS(M$117*PI()/180)/(24*INDEX('Геом. характеристики швеллера'!$K$6:$K$41,MATCH('без учета бимомента,два тяжа'!$J142,'Геом. характеристики швеллера'!$A$6:$A$41,0)))+SIN(M$117*PI()/180)/(45*INDEX('Геом.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швеллера'!$A$6:$A$41,0))),((8*$E$17*$E$19/($E$12^2))/(COS(M$117*PI()/180)/(INDEX('Геом. характеристики швеллера'!$K$6:$K$41,MATCH('без учета бимомента,два тяжа'!$J142,'Геом. характеристики швеллера'!$A$6:$A$41,0)))+SIN(M$117*PI()/180)/(45*INDEX('Геом.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швеллера'!$A$6:$A$41,0))),((2*$E$17*$E$19/($E$12^2))/(5*COS(M$117*PI()/180)/(24*INDEX('Геом. характеристики швеллера'!$K$6:$K$41,MATCH('без учета бимомента,два тяжа'!$J142,'Геом. характеристики швеллера'!$A$6:$A$41,0)))+SIN(M$117*PI()/180)/(45*INDEX('Геом.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швеллера'!$A$6:$A$41,0))))</f>
        <v>432.96418852852111</v>
      </c>
      <c r="N142" s="53">
        <f>IF(((8*$E$17*$E$19/($E$12^2))/(COS(N$117*PI()/180)/(INDEX('Геом. характеристики швеллера'!$K$6:$K$41,MATCH('без учета бимомента,два тяжа'!$J142,'Геом. характеристики швеллера'!$A$6:$A$41,0)))+SIN(N$117*PI()/180)/(45*INDEX('Геом.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швеллера'!$A$6:$A$41,0)))&lt;((2*$E$17*$E$19/($E$12^2))/(5*COS(N$117*PI()/180)/(24*INDEX('Геом. характеристики швеллера'!$K$6:$K$41,MATCH('без учета бимомента,два тяжа'!$J142,'Геом. характеристики швеллера'!$A$6:$A$41,0)))+SIN(N$117*PI()/180)/(45*INDEX('Геом.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швеллера'!$A$6:$A$41,0))),((8*$E$17*$E$19/($E$12^2))/(COS(N$117*PI()/180)/(INDEX('Геом. характеристики швеллера'!$K$6:$K$41,MATCH('без учета бимомента,два тяжа'!$J142,'Геом. характеристики швеллера'!$A$6:$A$41,0)))+SIN(N$117*PI()/180)/(45*INDEX('Геом.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швеллера'!$A$6:$A$41,0))),((2*$E$17*$E$19/($E$12^2))/(5*COS(N$117*PI()/180)/(24*INDEX('Геом. характеристики швеллера'!$K$6:$K$41,MATCH('без учета бимомента,два тяжа'!$J142,'Геом. характеристики швеллера'!$A$6:$A$41,0)))+SIN(N$117*PI()/180)/(45*INDEX('Геом.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швеллера'!$A$6:$A$41,0))))</f>
        <v>436.57109983407219</v>
      </c>
      <c r="O142" s="53">
        <f>IF(((8*$E$17*$E$19/($E$12^2))/(COS(O$117*PI()/180)/(INDEX('Геом. характеристики швеллера'!$K$6:$K$41,MATCH('без учета бимомента,два тяжа'!$J142,'Геом. характеристики швеллера'!$A$6:$A$41,0)))+SIN(O$117*PI()/180)/(45*INDEX('Геом.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швеллера'!$A$6:$A$41,0)))&lt;((2*$E$17*$E$19/($E$12^2))/(5*COS(O$117*PI()/180)/(24*INDEX('Геом. характеристики швеллера'!$K$6:$K$41,MATCH('без учета бимомента,два тяжа'!$J142,'Геом. характеристики швеллера'!$A$6:$A$41,0)))+SIN(O$117*PI()/180)/(45*INDEX('Геом.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швеллера'!$A$6:$A$41,0))),((8*$E$17*$E$19/($E$12^2))/(COS(O$117*PI()/180)/(INDEX('Геом. характеристики швеллера'!$K$6:$K$41,MATCH('без учета бимомента,два тяжа'!$J142,'Геом. характеристики швеллера'!$A$6:$A$41,0)))+SIN(O$117*PI()/180)/(45*INDEX('Геом.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швеллера'!$A$6:$A$41,0))),((2*$E$17*$E$19/($E$12^2))/(5*COS(O$117*PI()/180)/(24*INDEX('Геом. характеристики швеллера'!$K$6:$K$41,MATCH('без учета бимомента,два тяжа'!$J142,'Геом. характеристики швеллера'!$A$6:$A$41,0)))+SIN(O$117*PI()/180)/(45*INDEX('Геом.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швеллера'!$A$6:$A$41,0))))</f>
        <v>443.75029214186691</v>
      </c>
      <c r="P142" s="53">
        <f>IF(((8*$E$17*$E$19/($E$12^2))/(COS(P$117*PI()/180)/(INDEX('Геом. характеристики швеллера'!$K$6:$K$41,MATCH('без учета бимомента,два тяжа'!$J142,'Геом. характеристики швеллера'!$A$6:$A$41,0)))+SIN(P$117*PI()/180)/(45*INDEX('Геом.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швеллера'!$A$6:$A$41,0)))&lt;((2*$E$17*$E$19/($E$12^2))/(5*COS(P$117*PI()/180)/(24*INDEX('Геом. характеристики швеллера'!$K$6:$K$41,MATCH('без учета бимомента,два тяжа'!$J142,'Геом. характеристики швеллера'!$A$6:$A$41,0)))+SIN(P$117*PI()/180)/(45*INDEX('Геом.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швеллера'!$A$6:$A$41,0))),((8*$E$17*$E$19/($E$12^2))/(COS(P$117*PI()/180)/(INDEX('Геом. характеристики швеллера'!$K$6:$K$41,MATCH('без учета бимомента,два тяжа'!$J142,'Геом. характеристики швеллера'!$A$6:$A$41,0)))+SIN(P$117*PI()/180)/(45*INDEX('Геом.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швеллера'!$A$6:$A$41,0))),((2*$E$17*$E$19/($E$12^2))/(5*COS(P$117*PI()/180)/(24*INDEX('Геом. характеристики швеллера'!$K$6:$K$41,MATCH('без учета бимомента,два тяжа'!$J142,'Геом. характеристики швеллера'!$A$6:$A$41,0)))+SIN(P$117*PI()/180)/(45*INDEX('Геом.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швеллера'!$A$6:$A$41,0))))</f>
        <v>449.90941245674878</v>
      </c>
      <c r="Q142" s="53">
        <f>IF(((8*$E$17*$E$19/($E$12^2))/(COS(Q$117*PI()/180)/(INDEX('Геом. характеристики швеллера'!$K$6:$K$41,MATCH('без учета бимомента,два тяжа'!$J142,'Геом. характеристики швеллера'!$A$6:$A$41,0)))+SIN(Q$117*PI()/180)/(45*INDEX('Геом.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швеллера'!$A$6:$A$41,0)))&lt;((2*$E$17*$E$19/($E$12^2))/(5*COS(Q$117*PI()/180)/(24*INDEX('Геом. характеристики швеллера'!$K$6:$K$41,MATCH('без учета бимомента,два тяжа'!$J142,'Геом. характеристики швеллера'!$A$6:$A$41,0)))+SIN(Q$117*PI()/180)/(45*INDEX('Геом.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швеллера'!$A$6:$A$41,0))),((8*$E$17*$E$19/($E$12^2))/(COS(Q$117*PI()/180)/(INDEX('Геом. характеристики швеллера'!$K$6:$K$41,MATCH('без учета бимомента,два тяжа'!$J142,'Геом. характеристики швеллера'!$A$6:$A$41,0)))+SIN(Q$117*PI()/180)/(45*INDEX('Геом.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швеллера'!$A$6:$A$41,0))),((2*$E$17*$E$19/($E$12^2))/(5*COS(Q$117*PI()/180)/(24*INDEX('Геом. характеристики швеллера'!$K$6:$K$41,MATCH('без учета бимомента,два тяжа'!$J142,'Геом. характеристики швеллера'!$A$6:$A$41,0)))+SIN(Q$117*PI()/180)/(45*INDEX('Геом. характеристики швеллера'!$O$6:$O$41,MATCH('без учета бимомента,два тяжа'!$J142,'Геом. характеристики швеллера'!$A$6:$A$41,0))))/10-INDEX('Геом. характеристики швеллера'!$I$6:$I$41,MATCH('без учета бимомента,два тяжа'!$J142,'Геом. характеристики швеллера'!$A$6:$A$41,0))))</f>
        <v>447.16423993031714</v>
      </c>
    </row>
    <row r="143" spans="1:19" ht="16.5" thickBot="1" x14ac:dyDescent="0.3">
      <c r="J143" s="40" t="s">
        <v>204</v>
      </c>
      <c r="K143" s="53">
        <f>IF(((8*$E$17*$E$19/($E$12^2))/(COS(K$117*PI()/180)/(INDEX('Геом. характеристики швеллера'!$K$6:$K$41,MATCH('без учета бимомента,два тяжа'!$J143,'Геом. характеристики швеллера'!$A$6:$A$41,0)))+SIN(K$117*PI()/180)/(45*INDEX('Геом.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швеллера'!$A$6:$A$41,0)))&lt;((2*$E$17*$E$19/($E$12^2))/(5*COS(K$117*PI()/180)/(24*INDEX('Геом. характеристики швеллера'!$K$6:$K$41,MATCH('без учета бимомента,два тяжа'!$J143,'Геом. характеристики швеллера'!$A$6:$A$41,0)))+SIN(K$117*PI()/180)/(45*INDEX('Геом.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швеллера'!$A$6:$A$41,0))),((8*$E$17*$E$19/($E$12^2))/(COS(K$117*PI()/180)/(INDEX('Геом. характеристики швеллера'!$K$6:$K$41,MATCH('без учета бимомента,два тяжа'!$J143,'Геом. характеристики швеллера'!$A$6:$A$41,0)))+SIN(K$117*PI()/180)/(45*INDEX('Геом.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швеллера'!$A$6:$A$41,0))),((2*$E$17*$E$19/($E$12^2))/(5*COS(K$117*PI()/180)/(24*INDEX('Геом. характеристики швеллера'!$K$6:$K$41,MATCH('без учета бимомента,два тяжа'!$J143,'Геом. характеристики швеллера'!$A$6:$A$41,0)))+SIN(K$117*PI()/180)/(45*INDEX('Геом.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швеллера'!$A$6:$A$41,0))))</f>
        <v>479.09999999999997</v>
      </c>
      <c r="L143" s="53">
        <f>IF(((8*$E$17*$E$19/($E$12^2))/(COS(L$117*PI()/180)/(INDEX('Геом. характеристики швеллера'!$K$6:$K$41,MATCH('без учета бимомента,два тяжа'!$J143,'Геом. характеристики швеллера'!$A$6:$A$41,0)))+SIN(L$117*PI()/180)/(45*INDEX('Геом.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швеллера'!$A$6:$A$41,0)))&lt;((2*$E$17*$E$19/($E$12^2))/(5*COS(L$117*PI()/180)/(24*INDEX('Геом. характеристики швеллера'!$K$6:$K$41,MATCH('без учета бимомента,два тяжа'!$J143,'Геом. характеристики швеллера'!$A$6:$A$41,0)))+SIN(L$117*PI()/180)/(45*INDEX('Геом.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швеллера'!$A$6:$A$41,0))),((8*$E$17*$E$19/($E$12^2))/(COS(L$117*PI()/180)/(INDEX('Геом. характеристики швеллера'!$K$6:$K$41,MATCH('без учета бимомента,два тяжа'!$J143,'Геом. характеристики швеллера'!$A$6:$A$41,0)))+SIN(L$117*PI()/180)/(45*INDEX('Геом.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швеллера'!$A$6:$A$41,0))),((2*$E$17*$E$19/($E$12^2))/(5*COS(L$117*PI()/180)/(24*INDEX('Геом. характеристики швеллера'!$K$6:$K$41,MATCH('без учета бимомента,два тяжа'!$J143,'Геом. характеристики швеллера'!$A$6:$A$41,0)))+SIN(L$117*PI()/180)/(45*INDEX('Геом.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швеллера'!$A$6:$A$41,0))))</f>
        <v>475.96926395413465</v>
      </c>
      <c r="M143" s="53">
        <f>IF(((8*$E$17*$E$19/($E$12^2))/(COS(M$117*PI()/180)/(INDEX('Геом. характеристики швеллера'!$K$6:$K$41,MATCH('без учета бимомента,два тяжа'!$J143,'Геом. характеристики швеллера'!$A$6:$A$41,0)))+SIN(M$117*PI()/180)/(45*INDEX('Геом.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швеллера'!$A$6:$A$41,0)))&lt;((2*$E$17*$E$19/($E$12^2))/(5*COS(M$117*PI()/180)/(24*INDEX('Геом. характеристики швеллера'!$K$6:$K$41,MATCH('без учета бимомента,два тяжа'!$J143,'Геом. характеристики швеллера'!$A$6:$A$41,0)))+SIN(M$117*PI()/180)/(45*INDEX('Геом.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швеллера'!$A$6:$A$41,0))),((8*$E$17*$E$19/($E$12^2))/(COS(M$117*PI()/180)/(INDEX('Геом. характеристики швеллера'!$K$6:$K$41,MATCH('без учета бимомента,два тяжа'!$J143,'Геом. характеристики швеллера'!$A$6:$A$41,0)))+SIN(M$117*PI()/180)/(45*INDEX('Геом.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швеллера'!$A$6:$A$41,0))),((2*$E$17*$E$19/($E$12^2))/(5*COS(M$117*PI()/180)/(24*INDEX('Геом. характеристики швеллера'!$K$6:$K$41,MATCH('без учета бимомента,два тяжа'!$J143,'Геом. характеристики швеллера'!$A$6:$A$41,0)))+SIN(M$117*PI()/180)/(45*INDEX('Геом.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швеллера'!$A$6:$A$41,0))))</f>
        <v>476.59801237229374</v>
      </c>
      <c r="N143" s="53">
        <f>IF(((8*$E$17*$E$19/($E$12^2))/(COS(N$117*PI()/180)/(INDEX('Геом. характеристики швеллера'!$K$6:$K$41,MATCH('без учета бимомента,два тяжа'!$J143,'Геом. характеристики швеллера'!$A$6:$A$41,0)))+SIN(N$117*PI()/180)/(45*INDEX('Геом.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швеллера'!$A$6:$A$41,0)))&lt;((2*$E$17*$E$19/($E$12^2))/(5*COS(N$117*PI()/180)/(24*INDEX('Геом. характеристики швеллера'!$K$6:$K$41,MATCH('без учета бимомента,два тяжа'!$J143,'Геом. характеристики швеллера'!$A$6:$A$41,0)))+SIN(N$117*PI()/180)/(45*INDEX('Геом.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швеллера'!$A$6:$A$41,0))),((8*$E$17*$E$19/($E$12^2))/(COS(N$117*PI()/180)/(INDEX('Геом. характеристики швеллера'!$K$6:$K$41,MATCH('без учета бимомента,два тяжа'!$J143,'Геом. характеристики швеллера'!$A$6:$A$41,0)))+SIN(N$117*PI()/180)/(45*INDEX('Геом.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швеллера'!$A$6:$A$41,0))),((2*$E$17*$E$19/($E$12^2))/(5*COS(N$117*PI()/180)/(24*INDEX('Геом. характеристики швеллера'!$K$6:$K$41,MATCH('без учета бимомента,два тяжа'!$J143,'Геом. характеристики швеллера'!$A$6:$A$41,0)))+SIN(N$117*PI()/180)/(45*INDEX('Геом.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швеллера'!$A$6:$A$41,0))))</f>
        <v>481.01043479602657</v>
      </c>
      <c r="O143" s="53">
        <f>IF(((8*$E$17*$E$19/($E$12^2))/(COS(O$117*PI()/180)/(INDEX('Геом. характеристики швеллера'!$K$6:$K$41,MATCH('без учета бимомента,два тяжа'!$J143,'Геом. характеристики швеллера'!$A$6:$A$41,0)))+SIN(O$117*PI()/180)/(45*INDEX('Геом.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швеллера'!$A$6:$A$41,0)))&lt;((2*$E$17*$E$19/($E$12^2))/(5*COS(O$117*PI()/180)/(24*INDEX('Геом. характеристики швеллера'!$K$6:$K$41,MATCH('без учета бимомента,два тяжа'!$J143,'Геом. характеристики швеллера'!$A$6:$A$41,0)))+SIN(O$117*PI()/180)/(45*INDEX('Геом.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швеллера'!$A$6:$A$41,0))),((8*$E$17*$E$19/($E$12^2))/(COS(O$117*PI()/180)/(INDEX('Геом. характеристики швеллера'!$K$6:$K$41,MATCH('без учета бимомента,два тяжа'!$J143,'Геом. характеристики швеллера'!$A$6:$A$41,0)))+SIN(O$117*PI()/180)/(45*INDEX('Геом.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швеллера'!$A$6:$A$41,0))),((2*$E$17*$E$19/($E$12^2))/(5*COS(O$117*PI()/180)/(24*INDEX('Геом. характеристики швеллера'!$K$6:$K$41,MATCH('без учета бимомента,два тяжа'!$J143,'Геом. характеристики швеллера'!$A$6:$A$41,0)))+SIN(O$117*PI()/180)/(45*INDEX('Геом.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швеллера'!$A$6:$A$41,0))))</f>
        <v>489.37840730179931</v>
      </c>
      <c r="P143" s="53">
        <f>IF(((8*$E$17*$E$19/($E$12^2))/(COS(P$117*PI()/180)/(INDEX('Геом. характеристики швеллера'!$K$6:$K$41,MATCH('без учета бимомента,два тяжа'!$J143,'Геом. характеристики швеллера'!$A$6:$A$41,0)))+SIN(P$117*PI()/180)/(45*INDEX('Геом.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швеллера'!$A$6:$A$41,0)))&lt;((2*$E$17*$E$19/($E$12^2))/(5*COS(P$117*PI()/180)/(24*INDEX('Геом. характеристики швеллера'!$K$6:$K$41,MATCH('без учета бимомента,два тяжа'!$J143,'Геом. характеристики швеллера'!$A$6:$A$41,0)))+SIN(P$117*PI()/180)/(45*INDEX('Геом.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швеллера'!$A$6:$A$41,0))),((8*$E$17*$E$19/($E$12^2))/(COS(P$117*PI()/180)/(INDEX('Геом. характеристики швеллера'!$K$6:$K$41,MATCH('без учета бимомента,два тяжа'!$J143,'Геом. характеристики швеллера'!$A$6:$A$41,0)))+SIN(P$117*PI()/180)/(45*INDEX('Геом.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швеллера'!$A$6:$A$41,0))),((2*$E$17*$E$19/($E$12^2))/(5*COS(P$117*PI()/180)/(24*INDEX('Геом. характеристики швеллера'!$K$6:$K$41,MATCH('без учета бимомента,два тяжа'!$J143,'Геом. характеристики швеллера'!$A$6:$A$41,0)))+SIN(P$117*PI()/180)/(45*INDEX('Геом.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швеллера'!$A$6:$A$41,0))))</f>
        <v>502.03817086110092</v>
      </c>
      <c r="Q143" s="53">
        <f>IF(((8*$E$17*$E$19/($E$12^2))/(COS(Q$117*PI()/180)/(INDEX('Геом. характеристики швеллера'!$K$6:$K$41,MATCH('без учета бимомента,два тяжа'!$J143,'Геом. характеристики швеллера'!$A$6:$A$41,0)))+SIN(Q$117*PI()/180)/(45*INDEX('Геом.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швеллера'!$A$6:$A$41,0)))&lt;((2*$E$17*$E$19/($E$12^2))/(5*COS(Q$117*PI()/180)/(24*INDEX('Геом. характеристики швеллера'!$K$6:$K$41,MATCH('без учета бимомента,два тяжа'!$J143,'Геом. характеристики швеллера'!$A$6:$A$41,0)))+SIN(Q$117*PI()/180)/(45*INDEX('Геом.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швеллера'!$A$6:$A$41,0))),((8*$E$17*$E$19/($E$12^2))/(COS(Q$117*PI()/180)/(INDEX('Геом. характеристики швеллера'!$K$6:$K$41,MATCH('без учета бимомента,два тяжа'!$J143,'Геом. характеристики швеллера'!$A$6:$A$41,0)))+SIN(Q$117*PI()/180)/(45*INDEX('Геом.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швеллера'!$A$6:$A$41,0))),((2*$E$17*$E$19/($E$12^2))/(5*COS(Q$117*PI()/180)/(24*INDEX('Геом. характеристики швеллера'!$K$6:$K$41,MATCH('без учета бимомента,два тяжа'!$J143,'Геом. характеристики швеллера'!$A$6:$A$41,0)))+SIN(Q$117*PI()/180)/(45*INDEX('Геом. характеристики швеллера'!$O$6:$O$41,MATCH('без учета бимомента,два тяжа'!$J143,'Геом. характеристики швеллера'!$A$6:$A$41,0))))/10-INDEX('Геом. характеристики швеллера'!$I$6:$I$41,MATCH('без учета бимомента,два тяжа'!$J143,'Геом. характеристики швеллера'!$A$6:$A$41,0))))</f>
        <v>502.26197101035262</v>
      </c>
    </row>
    <row r="144" spans="1:19" ht="19.5" thickBot="1" x14ac:dyDescent="0.4">
      <c r="A144" s="2" t="s">
        <v>278</v>
      </c>
      <c r="B144" s="81">
        <v>5</v>
      </c>
      <c r="C144" s="2" t="s">
        <v>252</v>
      </c>
      <c r="D144" s="2" t="s">
        <v>279</v>
      </c>
      <c r="J144" s="40" t="s">
        <v>207</v>
      </c>
      <c r="K144" s="53">
        <f>IF(((8*$E$17*$E$19/($E$12^2))/(COS(K$117*PI()/180)/(INDEX('Геом. характеристики швеллера'!$K$6:$K$41,MATCH('без учета бимомента,два тяжа'!$J144,'Геом. характеристики швеллера'!$A$6:$A$41,0)))+SIN(K$117*PI()/180)/(45*INDEX('Геом.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швеллера'!$A$6:$A$41,0)))&lt;((2*$E$17*$E$19/($E$12^2))/(5*COS(K$117*PI()/180)/(24*INDEX('Геом. характеристики швеллера'!$K$6:$K$41,MATCH('без учета бимомента,два тяжа'!$J144,'Геом. характеристики швеллера'!$A$6:$A$41,0)))+SIN(K$117*PI()/180)/(45*INDEX('Геом.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швеллера'!$A$6:$A$41,0))),((8*$E$17*$E$19/($E$12^2))/(COS(K$117*PI()/180)/(INDEX('Геом. характеристики швеллера'!$K$6:$K$41,MATCH('без учета бимомента,два тяжа'!$J144,'Геом. характеристики швеллера'!$A$6:$A$41,0)))+SIN(K$117*PI()/180)/(45*INDEX('Геом.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швеллера'!$A$6:$A$41,0))),((2*$E$17*$E$19/($E$12^2))/(5*COS(K$117*PI()/180)/(24*INDEX('Геом. характеристики швеллера'!$K$6:$K$41,MATCH('без учета бимомента,два тяжа'!$J144,'Геом. характеристики швеллера'!$A$6:$A$41,0)))+SIN(K$117*PI()/180)/(45*INDEX('Геом.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швеллера'!$A$6:$A$41,0))))</f>
        <v>564.5</v>
      </c>
      <c r="L144" s="53">
        <f>IF(((8*$E$17*$E$19/($E$12^2))/(COS(L$117*PI()/180)/(INDEX('Геом. характеристики швеллера'!$K$6:$K$41,MATCH('без учета бимомента,два тяжа'!$J144,'Геом. характеристики швеллера'!$A$6:$A$41,0)))+SIN(L$117*PI()/180)/(45*INDEX('Геом.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швеллера'!$A$6:$A$41,0)))&lt;((2*$E$17*$E$19/($E$12^2))/(5*COS(L$117*PI()/180)/(24*INDEX('Геом. характеристики швеллера'!$K$6:$K$41,MATCH('без учета бимомента,два тяжа'!$J144,'Геом. характеристики швеллера'!$A$6:$A$41,0)))+SIN(L$117*PI()/180)/(45*INDEX('Геом.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швеллера'!$A$6:$A$41,0))),((8*$E$17*$E$19/($E$12^2))/(COS(L$117*PI()/180)/(INDEX('Геом. характеристики швеллера'!$K$6:$K$41,MATCH('без учета бимомента,два тяжа'!$J144,'Геом. характеристики швеллера'!$A$6:$A$41,0)))+SIN(L$117*PI()/180)/(45*INDEX('Геом.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швеллера'!$A$6:$A$41,0))),((2*$E$17*$E$19/($E$12^2))/(5*COS(L$117*PI()/180)/(24*INDEX('Геом. характеристики швеллера'!$K$6:$K$41,MATCH('без учета бимомента,два тяжа'!$J144,'Геом. характеристики швеллера'!$A$6:$A$41,0)))+SIN(L$117*PI()/180)/(45*INDEX('Геом.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швеллера'!$A$6:$A$41,0))))</f>
        <v>560.13579649874112</v>
      </c>
      <c r="M144" s="53">
        <f>IF(((8*$E$17*$E$19/($E$12^2))/(COS(M$117*PI()/180)/(INDEX('Геом. характеристики швеллера'!$K$6:$K$41,MATCH('без учета бимомента,два тяжа'!$J144,'Геом. характеристики швеллера'!$A$6:$A$41,0)))+SIN(M$117*PI()/180)/(45*INDEX('Геом.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швеллера'!$A$6:$A$41,0)))&lt;((2*$E$17*$E$19/($E$12^2))/(5*COS(M$117*PI()/180)/(24*INDEX('Геом. характеристики швеллера'!$K$6:$K$41,MATCH('без учета бимомента,два тяжа'!$J144,'Геом. характеристики швеллера'!$A$6:$A$41,0)))+SIN(M$117*PI()/180)/(45*INDEX('Геом.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швеллера'!$A$6:$A$41,0))),((8*$E$17*$E$19/($E$12^2))/(COS(M$117*PI()/180)/(INDEX('Геом. характеристики швеллера'!$K$6:$K$41,MATCH('без учета бимомента,два тяжа'!$J144,'Геом. характеристики швеллера'!$A$6:$A$41,0)))+SIN(M$117*PI()/180)/(45*INDEX('Геом.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швеллера'!$A$6:$A$41,0))),((2*$E$17*$E$19/($E$12^2))/(5*COS(M$117*PI()/180)/(24*INDEX('Геом. характеристики швеллера'!$K$6:$K$41,MATCH('без учета бимомента,два тяжа'!$J144,'Геом. характеристики швеллера'!$A$6:$A$41,0)))+SIN(M$117*PI()/180)/(45*INDEX('Геом.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швеллера'!$A$6:$A$41,0))))</f>
        <v>560.19141600480964</v>
      </c>
      <c r="N144" s="53">
        <f>IF(((8*$E$17*$E$19/($E$12^2))/(COS(N$117*PI()/180)/(INDEX('Геом. характеристики швеллера'!$K$6:$K$41,MATCH('без учета бимомента,два тяжа'!$J144,'Геом. характеристики швеллера'!$A$6:$A$41,0)))+SIN(N$117*PI()/180)/(45*INDEX('Геом.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швеллера'!$A$6:$A$41,0)))&lt;((2*$E$17*$E$19/($E$12^2))/(5*COS(N$117*PI()/180)/(24*INDEX('Геом. характеристики швеллера'!$K$6:$K$41,MATCH('без учета бимомента,два тяжа'!$J144,'Геом. характеристики швеллера'!$A$6:$A$41,0)))+SIN(N$117*PI()/180)/(45*INDEX('Геом.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швеллера'!$A$6:$A$41,0))),((8*$E$17*$E$19/($E$12^2))/(COS(N$117*PI()/180)/(INDEX('Геом. характеристики швеллера'!$K$6:$K$41,MATCH('без учета бимомента,два тяжа'!$J144,'Геом. характеристики швеллера'!$A$6:$A$41,0)))+SIN(N$117*PI()/180)/(45*INDEX('Геом.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швеллера'!$A$6:$A$41,0))),((2*$E$17*$E$19/($E$12^2))/(5*COS(N$117*PI()/180)/(24*INDEX('Геом. характеристики швеллера'!$K$6:$K$41,MATCH('без учета бимомента,два тяжа'!$J144,'Геом. характеристики швеллера'!$A$6:$A$41,0)))+SIN(N$117*PI()/180)/(45*INDEX('Геом.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швеллера'!$A$6:$A$41,0))))</f>
        <v>564.6689977851222</v>
      </c>
      <c r="O144" s="53">
        <f>IF(((8*$E$17*$E$19/($E$12^2))/(COS(O$117*PI()/180)/(INDEX('Геом. характеристики швеллера'!$K$6:$K$41,MATCH('без учета бимомента,два тяжа'!$J144,'Геом. характеристики швеллера'!$A$6:$A$41,0)))+SIN(O$117*PI()/180)/(45*INDEX('Геом.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швеллера'!$A$6:$A$41,0)))&lt;((2*$E$17*$E$19/($E$12^2))/(5*COS(O$117*PI()/180)/(24*INDEX('Геом. характеристики швеллера'!$K$6:$K$41,MATCH('без учета бимомента,два тяжа'!$J144,'Геом. характеристики швеллера'!$A$6:$A$41,0)))+SIN(O$117*PI()/180)/(45*INDEX('Геом.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швеллера'!$A$6:$A$41,0))),((8*$E$17*$E$19/($E$12^2))/(COS(O$117*PI()/180)/(INDEX('Геом. характеристики швеллера'!$K$6:$K$41,MATCH('без учета бимомента,два тяжа'!$J144,'Геом. характеристики швеллера'!$A$6:$A$41,0)))+SIN(O$117*PI()/180)/(45*INDEX('Геом.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швеллера'!$A$6:$A$41,0))),((2*$E$17*$E$19/($E$12^2))/(5*COS(O$117*PI()/180)/(24*INDEX('Геом. характеристики швеллера'!$K$6:$K$41,MATCH('без учета бимомента,два тяжа'!$J144,'Геом. характеристики швеллера'!$A$6:$A$41,0)))+SIN(O$117*PI()/180)/(45*INDEX('Геом.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швеллера'!$A$6:$A$41,0))))</f>
        <v>573.74240849430464</v>
      </c>
      <c r="P144" s="53">
        <f>IF(((8*$E$17*$E$19/($E$12^2))/(COS(P$117*PI()/180)/(INDEX('Геом. характеристики швеллера'!$K$6:$K$41,MATCH('без учета бимомента,два тяжа'!$J144,'Геом. характеристики швеллера'!$A$6:$A$41,0)))+SIN(P$117*PI()/180)/(45*INDEX('Геом.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швеллера'!$A$6:$A$41,0)))&lt;((2*$E$17*$E$19/($E$12^2))/(5*COS(P$117*PI()/180)/(24*INDEX('Геом. характеристики швеллера'!$K$6:$K$41,MATCH('без учета бимомента,два тяжа'!$J144,'Геом. характеристики швеллера'!$A$6:$A$41,0)))+SIN(P$117*PI()/180)/(45*INDEX('Геом.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швеллера'!$A$6:$A$41,0))),((8*$E$17*$E$19/($E$12^2))/(COS(P$117*PI()/180)/(INDEX('Геом. характеристики швеллера'!$K$6:$K$41,MATCH('без учета бимомента,два тяжа'!$J144,'Геом. характеристики швеллера'!$A$6:$A$41,0)))+SIN(P$117*PI()/180)/(45*INDEX('Геом.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швеллера'!$A$6:$A$41,0))),((2*$E$17*$E$19/($E$12^2))/(5*COS(P$117*PI()/180)/(24*INDEX('Геом. характеристики швеллера'!$K$6:$K$41,MATCH('без учета бимомента,два тяжа'!$J144,'Геом. характеристики швеллера'!$A$6:$A$41,0)))+SIN(P$117*PI()/180)/(45*INDEX('Геом.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швеллера'!$A$6:$A$41,0))))</f>
        <v>578.83590316832533</v>
      </c>
      <c r="Q144" s="53">
        <f>IF(((8*$E$17*$E$19/($E$12^2))/(COS(Q$117*PI()/180)/(INDEX('Геом. характеристики швеллера'!$K$6:$K$41,MATCH('без учета бимомента,два тяжа'!$J144,'Геом. характеристики швеллера'!$A$6:$A$41,0)))+SIN(Q$117*PI()/180)/(45*INDEX('Геом.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швеллера'!$A$6:$A$41,0)))&lt;((2*$E$17*$E$19/($E$12^2))/(5*COS(Q$117*PI()/180)/(24*INDEX('Геом. характеристики швеллера'!$K$6:$K$41,MATCH('без учета бимомента,два тяжа'!$J144,'Геом. характеристики швеллера'!$A$6:$A$41,0)))+SIN(Q$117*PI()/180)/(45*INDEX('Геом.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швеллера'!$A$6:$A$41,0))),((8*$E$17*$E$19/($E$12^2))/(COS(Q$117*PI()/180)/(INDEX('Геом. характеристики швеллера'!$K$6:$K$41,MATCH('без учета бимомента,два тяжа'!$J144,'Геом. характеристики швеллера'!$A$6:$A$41,0)))+SIN(Q$117*PI()/180)/(45*INDEX('Геом.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швеллера'!$A$6:$A$41,0))),((2*$E$17*$E$19/($E$12^2))/(5*COS(Q$117*PI()/180)/(24*INDEX('Геом. характеристики швеллера'!$K$6:$K$41,MATCH('без учета бимомента,два тяжа'!$J144,'Геом. характеристики швеллера'!$A$6:$A$41,0)))+SIN(Q$117*PI()/180)/(45*INDEX('Геом. характеристики швеллера'!$O$6:$O$41,MATCH('без учета бимомента,два тяжа'!$J144,'Геом. характеристики швеллера'!$A$6:$A$41,0))))/10-INDEX('Геом. характеристики швеллера'!$I$6:$I$41,MATCH('без учета бимомента,два тяжа'!$J144,'Геом. характеристики швеллера'!$A$6:$A$41,0))))</f>
        <v>574.69765859116535</v>
      </c>
    </row>
    <row r="145" spans="1:17" ht="16.5" thickBot="1" x14ac:dyDescent="0.3">
      <c r="J145" s="40" t="s">
        <v>209</v>
      </c>
      <c r="K145" s="53">
        <f>IF(((8*$E$17*$E$19/($E$12^2))/(COS(K$117*PI()/180)/(INDEX('Геом. характеристики швеллера'!$K$6:$K$41,MATCH('без учета бимомента,два тяжа'!$J145,'Геом. характеристики швеллера'!$A$6:$A$41,0)))+SIN(K$117*PI()/180)/(45*INDEX('Геом.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швеллера'!$A$6:$A$41,0)))&lt;((2*$E$17*$E$19/($E$12^2))/(5*COS(K$117*PI()/180)/(24*INDEX('Геом. характеристики швеллера'!$K$6:$K$41,MATCH('без учета бимомента,два тяжа'!$J145,'Геом. характеристики швеллера'!$A$6:$A$41,0)))+SIN(K$117*PI()/180)/(45*INDEX('Геом.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швеллера'!$A$6:$A$41,0))),((8*$E$17*$E$19/($E$12^2))/(COS(K$117*PI()/180)/(INDEX('Геом. характеристики швеллера'!$K$6:$K$41,MATCH('без учета бимомента,два тяжа'!$J145,'Геом. характеристики швеллера'!$A$6:$A$41,0)))+SIN(K$117*PI()/180)/(45*INDEX('Геом.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швеллера'!$A$6:$A$41,0))),((2*$E$17*$E$19/($E$12^2))/(5*COS(K$117*PI()/180)/(24*INDEX('Геом. характеристики швеллера'!$K$6:$K$41,MATCH('без учета бимомента,два тяжа'!$J145,'Геом. характеристики швеллера'!$A$6:$A$41,0)))+SIN(K$117*PI()/180)/(45*INDEX('Геом.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швеллера'!$A$6:$A$41,0))))</f>
        <v>621</v>
      </c>
      <c r="L145" s="53">
        <f>IF(((8*$E$17*$E$19/($E$12^2))/(COS(L$117*PI()/180)/(INDEX('Геом. характеристики швеллера'!$K$6:$K$41,MATCH('без учета бимомента,два тяжа'!$J145,'Геом. характеристики швеллера'!$A$6:$A$41,0)))+SIN(L$117*PI()/180)/(45*INDEX('Геом.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швеллера'!$A$6:$A$41,0)))&lt;((2*$E$17*$E$19/($E$12^2))/(5*COS(L$117*PI()/180)/(24*INDEX('Геом. характеристики швеллера'!$K$6:$K$41,MATCH('без учета бимомента,два тяжа'!$J145,'Геом. характеристики швеллера'!$A$6:$A$41,0)))+SIN(L$117*PI()/180)/(45*INDEX('Геом.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швеллера'!$A$6:$A$41,0))),((8*$E$17*$E$19/($E$12^2))/(COS(L$117*PI()/180)/(INDEX('Геом. характеристики швеллера'!$K$6:$K$41,MATCH('без учета бимомента,два тяжа'!$J145,'Геом. характеристики швеллера'!$A$6:$A$41,0)))+SIN(L$117*PI()/180)/(45*INDEX('Геом.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швеллера'!$A$6:$A$41,0))),((2*$E$17*$E$19/($E$12^2))/(5*COS(L$117*PI()/180)/(24*INDEX('Геом. характеристики швеллера'!$K$6:$K$41,MATCH('без учета бимомента,два тяжа'!$J145,'Геом. характеристики швеллера'!$A$6:$A$41,0)))+SIN(L$117*PI()/180)/(45*INDEX('Геом.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швеллера'!$A$6:$A$41,0))))</f>
        <v>616.6911859114573</v>
      </c>
      <c r="M145" s="53">
        <f>IF(((8*$E$17*$E$19/($E$12^2))/(COS(M$117*PI()/180)/(INDEX('Геом. характеристики швеллера'!$K$6:$K$41,MATCH('без учета бимомента,два тяжа'!$J145,'Геом. характеристики швеллера'!$A$6:$A$41,0)))+SIN(M$117*PI()/180)/(45*INDEX('Геом.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швеллера'!$A$6:$A$41,0)))&lt;((2*$E$17*$E$19/($E$12^2))/(5*COS(M$117*PI()/180)/(24*INDEX('Геом. характеристики швеллера'!$K$6:$K$41,MATCH('без учета бимомента,два тяжа'!$J145,'Геом. характеристики швеллера'!$A$6:$A$41,0)))+SIN(M$117*PI()/180)/(45*INDEX('Геом.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швеллера'!$A$6:$A$41,0))),((8*$E$17*$E$19/($E$12^2))/(COS(M$117*PI()/180)/(INDEX('Геом. характеристики швеллера'!$K$6:$K$41,MATCH('без учета бимомента,два тяжа'!$J145,'Геом. характеристики швеллера'!$A$6:$A$41,0)))+SIN(M$117*PI()/180)/(45*INDEX('Геом.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швеллера'!$A$6:$A$41,0))),((2*$E$17*$E$19/($E$12^2))/(5*COS(M$117*PI()/180)/(24*INDEX('Геом. характеристики швеллера'!$K$6:$K$41,MATCH('без учета бимомента,два тяжа'!$J145,'Геом. характеристики швеллера'!$A$6:$A$41,0)))+SIN(M$117*PI()/180)/(45*INDEX('Геом.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швеллера'!$A$6:$A$41,0))))</f>
        <v>617.23774121082374</v>
      </c>
      <c r="N145" s="53">
        <f>IF(((8*$E$17*$E$19/($E$12^2))/(COS(N$117*PI()/180)/(INDEX('Геом. характеристики швеллера'!$K$6:$K$41,MATCH('без учета бимомента,два тяжа'!$J145,'Геом. характеристики швеллера'!$A$6:$A$41,0)))+SIN(N$117*PI()/180)/(45*INDEX('Геом.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швеллера'!$A$6:$A$41,0)))&lt;((2*$E$17*$E$19/($E$12^2))/(5*COS(N$117*PI()/180)/(24*INDEX('Геом. характеристики швеллера'!$K$6:$K$41,MATCH('без учета бимомента,два тяжа'!$J145,'Геом. характеристики швеллера'!$A$6:$A$41,0)))+SIN(N$117*PI()/180)/(45*INDEX('Геом.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швеллера'!$A$6:$A$41,0))),((8*$E$17*$E$19/($E$12^2))/(COS(N$117*PI()/180)/(INDEX('Геом. характеристики швеллера'!$K$6:$K$41,MATCH('без учета бимомента,два тяжа'!$J145,'Геом. характеристики швеллера'!$A$6:$A$41,0)))+SIN(N$117*PI()/180)/(45*INDEX('Геом.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швеллера'!$A$6:$A$41,0))),((2*$E$17*$E$19/($E$12^2))/(5*COS(N$117*PI()/180)/(24*INDEX('Геом. характеристики швеллера'!$K$6:$K$41,MATCH('без учета бимомента,два тяжа'!$J145,'Геом. характеристики швеллера'!$A$6:$A$41,0)))+SIN(N$117*PI()/180)/(45*INDEX('Геом.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швеллера'!$A$6:$A$41,0))))</f>
        <v>622.66069026033756</v>
      </c>
      <c r="O145" s="53">
        <f>IF(((8*$E$17*$E$19/($E$12^2))/(COS(O$117*PI()/180)/(INDEX('Геом. характеристики швеллера'!$K$6:$K$41,MATCH('без учета бимомента,два тяжа'!$J145,'Геом. характеристики швеллера'!$A$6:$A$41,0)))+SIN(O$117*PI()/180)/(45*INDEX('Геом.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швеллера'!$A$6:$A$41,0)))&lt;((2*$E$17*$E$19/($E$12^2))/(5*COS(O$117*PI()/180)/(24*INDEX('Геом. характеристики швеллера'!$K$6:$K$41,MATCH('без учета бимомента,два тяжа'!$J145,'Геом. характеристики швеллера'!$A$6:$A$41,0)))+SIN(O$117*PI()/180)/(45*INDEX('Геом.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швеллера'!$A$6:$A$41,0))),((8*$E$17*$E$19/($E$12^2))/(COS(O$117*PI()/180)/(INDEX('Геом. характеристики швеллера'!$K$6:$K$41,MATCH('без учета бимомента,два тяжа'!$J145,'Геом. характеристики швеллера'!$A$6:$A$41,0)))+SIN(O$117*PI()/180)/(45*INDEX('Геом.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швеллера'!$A$6:$A$41,0))),((2*$E$17*$E$19/($E$12^2))/(5*COS(O$117*PI()/180)/(24*INDEX('Геом. характеристики швеллера'!$K$6:$K$41,MATCH('без учета бимомента,два тяжа'!$J145,'Геом. характеристики швеллера'!$A$6:$A$41,0)))+SIN(O$117*PI()/180)/(45*INDEX('Геом.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швеллера'!$A$6:$A$41,0))))</f>
        <v>633.17102681039387</v>
      </c>
      <c r="P145" s="53">
        <f>IF(((8*$E$17*$E$19/($E$12^2))/(COS(P$117*PI()/180)/(INDEX('Геом. характеристики швеллера'!$K$6:$K$41,MATCH('без учета бимомента,два тяжа'!$J145,'Геом. характеристики швеллера'!$A$6:$A$41,0)))+SIN(P$117*PI()/180)/(45*INDEX('Геом.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швеллера'!$A$6:$A$41,0)))&lt;((2*$E$17*$E$19/($E$12^2))/(5*COS(P$117*PI()/180)/(24*INDEX('Геом. характеристики швеллера'!$K$6:$K$41,MATCH('без учета бимомента,два тяжа'!$J145,'Геом. характеристики швеллера'!$A$6:$A$41,0)))+SIN(P$117*PI()/180)/(45*INDEX('Геом.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швеллера'!$A$6:$A$41,0))),((8*$E$17*$E$19/($E$12^2))/(COS(P$117*PI()/180)/(INDEX('Геом. характеристики швеллера'!$K$6:$K$41,MATCH('без учета бимомента,два тяжа'!$J145,'Геом. характеристики швеллера'!$A$6:$A$41,0)))+SIN(P$117*PI()/180)/(45*INDEX('Геом.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швеллера'!$A$6:$A$41,0))),((2*$E$17*$E$19/($E$12^2))/(5*COS(P$117*PI()/180)/(24*INDEX('Геом. характеристики швеллера'!$K$6:$K$41,MATCH('без учета бимомента,два тяжа'!$J145,'Геом. характеристики швеллера'!$A$6:$A$41,0)))+SIN(P$117*PI()/180)/(45*INDEX('Геом.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швеллера'!$A$6:$A$41,0))))</f>
        <v>647.00134121251335</v>
      </c>
      <c r="Q145" s="53">
        <f>IF(((8*$E$17*$E$19/($E$12^2))/(COS(Q$117*PI()/180)/(INDEX('Геом. характеристики швеллера'!$K$6:$K$41,MATCH('без учета бимомента,два тяжа'!$J145,'Геом. характеристики швеллера'!$A$6:$A$41,0)))+SIN(Q$117*PI()/180)/(45*INDEX('Геом.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швеллера'!$A$6:$A$41,0)))&lt;((2*$E$17*$E$19/($E$12^2))/(5*COS(Q$117*PI()/180)/(24*INDEX('Геом. характеристики швеллера'!$K$6:$K$41,MATCH('без учета бимомента,два тяжа'!$J145,'Геом. характеристики швеллера'!$A$6:$A$41,0)))+SIN(Q$117*PI()/180)/(45*INDEX('Геом.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швеллера'!$A$6:$A$41,0))),((8*$E$17*$E$19/($E$12^2))/(COS(Q$117*PI()/180)/(INDEX('Геом. характеристики швеллера'!$K$6:$K$41,MATCH('без учета бимомента,два тяжа'!$J145,'Геом. характеристики швеллера'!$A$6:$A$41,0)))+SIN(Q$117*PI()/180)/(45*INDEX('Геом.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швеллера'!$A$6:$A$41,0))),((2*$E$17*$E$19/($E$12^2))/(5*COS(Q$117*PI()/180)/(24*INDEX('Геом. характеристики швеллера'!$K$6:$K$41,MATCH('без учета бимомента,два тяжа'!$J145,'Геом. характеристики швеллера'!$A$6:$A$41,0)))+SIN(Q$117*PI()/180)/(45*INDEX('Геом. характеристики швеллера'!$O$6:$O$41,MATCH('без учета бимомента,два тяжа'!$J145,'Геом. характеристики швеллера'!$A$6:$A$41,0))))/10-INDEX('Геом. характеристики швеллера'!$I$6:$I$41,MATCH('без учета бимомента,два тяжа'!$J145,'Геом. характеристики швеллера'!$A$6:$A$41,0))))</f>
        <v>644.19318257775046</v>
      </c>
    </row>
    <row r="146" spans="1:17" ht="16.5" thickBot="1" x14ac:dyDescent="0.3">
      <c r="C146" s="2">
        <f>D142/(E18*E19)</f>
        <v>0.49993198350108625</v>
      </c>
      <c r="E146" s="115" t="str">
        <f>IF(C146&lt;1,"Условия прочности обеспечены","Условия прочности не обеспечены")</f>
        <v>Условия прочности обеспечены</v>
      </c>
      <c r="F146" s="115"/>
      <c r="G146" s="115"/>
      <c r="J146" s="40" t="s">
        <v>18</v>
      </c>
      <c r="K146" s="53">
        <f>IF(((8*$E$17*$E$19/($E$12^2))/(COS(K$117*PI()/180)/(INDEX('Геом. характеристики швеллера'!$K$6:$K$41,MATCH('без учета бимомента,два тяжа'!$J146,'Геом. характеристики швеллера'!$A$6:$A$41,0)))+SIN(K$117*PI()/180)/(45*INDEX('Геом.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швеллера'!$A$6:$A$41,0)))&lt;((2*$E$17*$E$19/($E$12^2))/(5*COS(K$117*PI()/180)/(24*INDEX('Геом. характеристики швеллера'!$K$6:$K$41,MATCH('без учета бимомента,два тяжа'!$J146,'Геом. характеристики швеллера'!$A$6:$A$41,0)))+SIN(K$117*PI()/180)/(45*INDEX('Геом.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швеллера'!$A$6:$A$41,0))),((8*$E$17*$E$19/($E$12^2))/(COS(K$117*PI()/180)/(INDEX('Геом. характеристики швеллера'!$K$6:$K$41,MATCH('без учета бимомента,два тяжа'!$J146,'Геом. характеристики швеллера'!$A$6:$A$41,0)))+SIN(K$117*PI()/180)/(45*INDEX('Геом.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швеллера'!$A$6:$A$41,0))),((2*$E$17*$E$19/($E$12^2))/(5*COS(K$117*PI()/180)/(24*INDEX('Геом. характеристики швеллера'!$K$6:$K$41,MATCH('без учета бимомента,два тяжа'!$J146,'Геом. характеристики швеллера'!$A$6:$A$41,0)))+SIN(K$117*PI()/180)/(45*INDEX('Геом.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швеллера'!$A$6:$A$41,0))))</f>
        <v>716</v>
      </c>
      <c r="L146" s="53">
        <f>IF(((8*$E$17*$E$19/($E$12^2))/(COS(L$117*PI()/180)/(INDEX('Геом. характеристики швеллера'!$K$6:$K$41,MATCH('без учета бимомента,два тяжа'!$J146,'Геом. характеристики швеллера'!$A$6:$A$41,0)))+SIN(L$117*PI()/180)/(45*INDEX('Геом.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швеллера'!$A$6:$A$41,0)))&lt;((2*$E$17*$E$19/($E$12^2))/(5*COS(L$117*PI()/180)/(24*INDEX('Геом. характеристики швеллера'!$K$6:$K$41,MATCH('без учета бимомента,два тяжа'!$J146,'Геом. характеристики швеллера'!$A$6:$A$41,0)))+SIN(L$117*PI()/180)/(45*INDEX('Геом.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швеллера'!$A$6:$A$41,0))),((8*$E$17*$E$19/($E$12^2))/(COS(L$117*PI()/180)/(INDEX('Геом. характеристики швеллера'!$K$6:$K$41,MATCH('без учета бимомента,два тяжа'!$J146,'Геом. характеристики швеллера'!$A$6:$A$41,0)))+SIN(L$117*PI()/180)/(45*INDEX('Геом.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швеллера'!$A$6:$A$41,0))),((2*$E$17*$E$19/($E$12^2))/(5*COS(L$117*PI()/180)/(24*INDEX('Геом. характеристики швеллера'!$K$6:$K$41,MATCH('без учета бимомента,два тяжа'!$J146,'Геом. характеристики швеллера'!$A$6:$A$41,0)))+SIN(L$117*PI()/180)/(45*INDEX('Геом.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швеллера'!$A$6:$A$41,0))))</f>
        <v>710.20481844835729</v>
      </c>
      <c r="M146" s="53">
        <f>IF(((8*$E$17*$E$19/($E$12^2))/(COS(M$117*PI()/180)/(INDEX('Геом. характеристики швеллера'!$K$6:$K$41,MATCH('без учета бимомента,два тяжа'!$J146,'Геом. характеристики швеллера'!$A$6:$A$41,0)))+SIN(M$117*PI()/180)/(45*INDEX('Геом.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швеллера'!$A$6:$A$41,0)))&lt;((2*$E$17*$E$19/($E$12^2))/(5*COS(M$117*PI()/180)/(24*INDEX('Геом. характеристики швеллера'!$K$6:$K$41,MATCH('без учета бимомента,два тяжа'!$J146,'Геом. характеристики швеллера'!$A$6:$A$41,0)))+SIN(M$117*PI()/180)/(45*INDEX('Геом.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швеллера'!$A$6:$A$41,0))),((8*$E$17*$E$19/($E$12^2))/(COS(M$117*PI()/180)/(INDEX('Геом. характеристики швеллера'!$K$6:$K$41,MATCH('без учета бимомента,два тяжа'!$J146,'Геом. характеристики швеллера'!$A$6:$A$41,0)))+SIN(M$117*PI()/180)/(45*INDEX('Геом.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швеллера'!$A$6:$A$41,0))),((2*$E$17*$E$19/($E$12^2))/(5*COS(M$117*PI()/180)/(24*INDEX('Геом. характеристики швеллера'!$K$6:$K$41,MATCH('без учета бимомента,два тяжа'!$J146,'Геом. характеристики швеллера'!$A$6:$A$41,0)))+SIN(M$117*PI()/180)/(45*INDEX('Геом.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швеллера'!$A$6:$A$41,0))))</f>
        <v>710.00054681781751</v>
      </c>
      <c r="N146" s="53">
        <f>IF(((8*$E$17*$E$19/($E$12^2))/(COS(N$117*PI()/180)/(INDEX('Геом. характеристики швеллера'!$K$6:$K$41,MATCH('без учета бимомента,два тяжа'!$J146,'Геом. характеристики швеллера'!$A$6:$A$41,0)))+SIN(N$117*PI()/180)/(45*INDEX('Геом.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швеллера'!$A$6:$A$41,0)))&lt;((2*$E$17*$E$19/($E$12^2))/(5*COS(N$117*PI()/180)/(24*INDEX('Геом. характеристики швеллера'!$K$6:$K$41,MATCH('без учета бимомента,два тяжа'!$J146,'Геом. характеристики швеллера'!$A$6:$A$41,0)))+SIN(N$117*PI()/180)/(45*INDEX('Геом.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швеллера'!$A$6:$A$41,0))),((8*$E$17*$E$19/($E$12^2))/(COS(N$117*PI()/180)/(INDEX('Геом. характеристики швеллера'!$K$6:$K$41,MATCH('без учета бимомента,два тяжа'!$J146,'Геом. характеристики швеллера'!$A$6:$A$41,0)))+SIN(N$117*PI()/180)/(45*INDEX('Геом.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швеллера'!$A$6:$A$41,0))),((2*$E$17*$E$19/($E$12^2))/(5*COS(N$117*PI()/180)/(24*INDEX('Геом. характеристики швеллера'!$K$6:$K$41,MATCH('без учета бимомента,два тяжа'!$J146,'Геом. характеристики швеллера'!$A$6:$A$41,0)))+SIN(N$117*PI()/180)/(45*INDEX('Геом.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швеллера'!$A$6:$A$41,0))))</f>
        <v>715.37932821764377</v>
      </c>
      <c r="O146" s="53">
        <f>IF(((8*$E$17*$E$19/($E$12^2))/(COS(O$117*PI()/180)/(INDEX('Геом. характеристики швеллера'!$K$6:$K$41,MATCH('без учета бимомента,два тяжа'!$J146,'Геом. характеристики швеллера'!$A$6:$A$41,0)))+SIN(O$117*PI()/180)/(45*INDEX('Геом.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швеллера'!$A$6:$A$41,0)))&lt;((2*$E$17*$E$19/($E$12^2))/(5*COS(O$117*PI()/180)/(24*INDEX('Геом. характеристики швеллера'!$K$6:$K$41,MATCH('без учета бимомента,два тяжа'!$J146,'Геом. характеристики швеллера'!$A$6:$A$41,0)))+SIN(O$117*PI()/180)/(45*INDEX('Геом.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швеллера'!$A$6:$A$41,0))),((8*$E$17*$E$19/($E$12^2))/(COS(O$117*PI()/180)/(INDEX('Геом. характеристики швеллера'!$K$6:$K$41,MATCH('без учета бимомента,два тяжа'!$J146,'Геом. характеристики швеллера'!$A$6:$A$41,0)))+SIN(O$117*PI()/180)/(45*INDEX('Геом.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швеллера'!$A$6:$A$41,0))),((2*$E$17*$E$19/($E$12^2))/(5*COS(O$117*PI()/180)/(24*INDEX('Геом. характеристики швеллера'!$K$6:$K$41,MATCH('без учета бимомента,два тяжа'!$J146,'Геом. характеристики швеллера'!$A$6:$A$41,0)))+SIN(O$117*PI()/180)/(45*INDEX('Геом.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швеллера'!$A$6:$A$41,0))))</f>
        <v>726.54983377484041</v>
      </c>
      <c r="P146" s="53">
        <f>IF(((8*$E$17*$E$19/($E$12^2))/(COS(P$117*PI()/180)/(INDEX('Геом. характеристики швеллера'!$K$6:$K$41,MATCH('без учета бимомента,два тяжа'!$J146,'Геом. характеристики швеллера'!$A$6:$A$41,0)))+SIN(P$117*PI()/180)/(45*INDEX('Геом.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швеллера'!$A$6:$A$41,0)))&lt;((2*$E$17*$E$19/($E$12^2))/(5*COS(P$117*PI()/180)/(24*INDEX('Геом. характеристики швеллера'!$K$6:$K$41,MATCH('без учета бимомента,два тяжа'!$J146,'Геом. характеристики швеллера'!$A$6:$A$41,0)))+SIN(P$117*PI()/180)/(45*INDEX('Геом.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швеллера'!$A$6:$A$41,0))),((8*$E$17*$E$19/($E$12^2))/(COS(P$117*PI()/180)/(INDEX('Геом. характеристики швеллера'!$K$6:$K$41,MATCH('без учета бимомента,два тяжа'!$J146,'Геом. характеристики швеллера'!$A$6:$A$41,0)))+SIN(P$117*PI()/180)/(45*INDEX('Геом.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швеллера'!$A$6:$A$41,0))),((2*$E$17*$E$19/($E$12^2))/(5*COS(P$117*PI()/180)/(24*INDEX('Геом. характеристики швеллера'!$K$6:$K$41,MATCH('без учета бимомента,два тяжа'!$J146,'Геом. характеристики швеллера'!$A$6:$A$41,0)))+SIN(P$117*PI()/180)/(45*INDEX('Геом.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швеллера'!$A$6:$A$41,0))))</f>
        <v>728.44529100894249</v>
      </c>
      <c r="Q146" s="53">
        <f>IF(((8*$E$17*$E$19/($E$12^2))/(COS(Q$117*PI()/180)/(INDEX('Геом. характеристики швеллера'!$K$6:$K$41,MATCH('без учета бимомента,два тяжа'!$J146,'Геом. характеристики швеллера'!$A$6:$A$41,0)))+SIN(Q$117*PI()/180)/(45*INDEX('Геом.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швеллера'!$A$6:$A$41,0)))&lt;((2*$E$17*$E$19/($E$12^2))/(5*COS(Q$117*PI()/180)/(24*INDEX('Геом. характеристики швеллера'!$K$6:$K$41,MATCH('без учета бимомента,два тяжа'!$J146,'Геом. характеристики швеллера'!$A$6:$A$41,0)))+SIN(Q$117*PI()/180)/(45*INDEX('Геом.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швеллера'!$A$6:$A$41,0))),((8*$E$17*$E$19/($E$12^2))/(COS(Q$117*PI()/180)/(INDEX('Геом. характеристики швеллера'!$K$6:$K$41,MATCH('без учета бимомента,два тяжа'!$J146,'Геом. характеристики швеллера'!$A$6:$A$41,0)))+SIN(Q$117*PI()/180)/(45*INDEX('Геом.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швеллера'!$A$6:$A$41,0))),((2*$E$17*$E$19/($E$12^2))/(5*COS(Q$117*PI()/180)/(24*INDEX('Геом. характеристики швеллера'!$K$6:$K$41,MATCH('без учета бимомента,два тяжа'!$J146,'Геом. характеристики швеллера'!$A$6:$A$41,0)))+SIN(Q$117*PI()/180)/(45*INDEX('Геом. характеристики швеллера'!$O$6:$O$41,MATCH('без учета бимомента,два тяжа'!$J146,'Геом. характеристики швеллера'!$A$6:$A$41,0))))/10-INDEX('Геом. характеристики швеллера'!$I$6:$I$41,MATCH('без учета бимомента,два тяжа'!$J146,'Геом. характеристики швеллера'!$A$6:$A$41,0))))</f>
        <v>722.27417215772095</v>
      </c>
    </row>
    <row r="147" spans="1:17" ht="16.5" thickBot="1" x14ac:dyDescent="0.3">
      <c r="J147" s="40" t="s">
        <v>215</v>
      </c>
      <c r="K147" s="53">
        <f>IF(((8*$E$17*$E$19/($E$12^2))/(COS(K$117*PI()/180)/(INDEX('Геом. характеристики швеллера'!$K$6:$K$41,MATCH('без учета бимомента,два тяжа'!$J147,'Геом. характеристики швеллера'!$A$6:$A$41,0)))+SIN(K$117*PI()/180)/(45*INDEX('Геом.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швеллера'!$A$6:$A$41,0)))&lt;((2*$E$17*$E$19/($E$12^2))/(5*COS(K$117*PI()/180)/(24*INDEX('Геом. характеристики швеллера'!$K$6:$K$41,MATCH('без учета бимомента,два тяжа'!$J147,'Геом. характеристики швеллера'!$A$6:$A$41,0)))+SIN(K$117*PI()/180)/(45*INDEX('Геом.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швеллера'!$A$6:$A$41,0))),((8*$E$17*$E$19/($E$12^2))/(COS(K$117*PI()/180)/(INDEX('Геом. характеристики швеллера'!$K$6:$K$41,MATCH('без учета бимомента,два тяжа'!$J147,'Геом. характеристики швеллера'!$A$6:$A$41,0)))+SIN(K$117*PI()/180)/(45*INDEX('Геом.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швеллера'!$A$6:$A$41,0))),((2*$E$17*$E$19/($E$12^2))/(5*COS(K$117*PI()/180)/(24*INDEX('Геом. характеристики швеллера'!$K$6:$K$41,MATCH('без учета бимомента,два тяжа'!$J147,'Геом. характеристики швеллера'!$A$6:$A$41,0)))+SIN(K$117*PI()/180)/(45*INDEX('Геом.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швеллера'!$A$6:$A$41,0))))</f>
        <v>905.4</v>
      </c>
      <c r="L147" s="53">
        <f>IF(((8*$E$17*$E$19/($E$12^2))/(COS(L$117*PI()/180)/(INDEX('Геом. характеристики швеллера'!$K$6:$K$41,MATCH('без учета бимомента,два тяжа'!$J147,'Геом. характеристики швеллера'!$A$6:$A$41,0)))+SIN(L$117*PI()/180)/(45*INDEX('Геом.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швеллера'!$A$6:$A$41,0)))&lt;((2*$E$17*$E$19/($E$12^2))/(5*COS(L$117*PI()/180)/(24*INDEX('Геом. характеристики швеллера'!$K$6:$K$41,MATCH('без учета бимомента,два тяжа'!$J147,'Геом. характеристики швеллера'!$A$6:$A$41,0)))+SIN(L$117*PI()/180)/(45*INDEX('Геом.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швеллера'!$A$6:$A$41,0))),((8*$E$17*$E$19/($E$12^2))/(COS(L$117*PI()/180)/(INDEX('Геом. характеристики швеллера'!$K$6:$K$41,MATCH('без учета бимомента,два тяжа'!$J147,'Геом. характеристики швеллера'!$A$6:$A$41,0)))+SIN(L$117*PI()/180)/(45*INDEX('Геом.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швеллера'!$A$6:$A$41,0))),((2*$E$17*$E$19/($E$12^2))/(5*COS(L$117*PI()/180)/(24*INDEX('Геом. характеристики швеллера'!$K$6:$K$41,MATCH('без учета бимомента,два тяжа'!$J147,'Геом. характеристики швеллера'!$A$6:$A$41,0)))+SIN(L$117*PI()/180)/(45*INDEX('Геом.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швеллера'!$A$6:$A$41,0))))</f>
        <v>897.81718148869572</v>
      </c>
      <c r="M147" s="53">
        <f>IF(((8*$E$17*$E$19/($E$12^2))/(COS(M$117*PI()/180)/(INDEX('Геом. характеристики швеллера'!$K$6:$K$41,MATCH('без учета бимомента,два тяжа'!$J147,'Геом. характеристики швеллера'!$A$6:$A$41,0)))+SIN(M$117*PI()/180)/(45*INDEX('Геом.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швеллера'!$A$6:$A$41,0)))&lt;((2*$E$17*$E$19/($E$12^2))/(5*COS(M$117*PI()/180)/(24*INDEX('Геом. характеристики швеллера'!$K$6:$K$41,MATCH('без учета бимомента,два тяжа'!$J147,'Геом. характеристики швеллера'!$A$6:$A$41,0)))+SIN(M$117*PI()/180)/(45*INDEX('Геом.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швеллера'!$A$6:$A$41,0))),((8*$E$17*$E$19/($E$12^2))/(COS(M$117*PI()/180)/(INDEX('Геом. характеристики швеллера'!$K$6:$K$41,MATCH('без учета бимомента,два тяжа'!$J147,'Геом. характеристики швеллера'!$A$6:$A$41,0)))+SIN(M$117*PI()/180)/(45*INDEX('Геом.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швеллера'!$A$6:$A$41,0))),((2*$E$17*$E$19/($E$12^2))/(5*COS(M$117*PI()/180)/(24*INDEX('Геом. характеристики швеллера'!$K$6:$K$41,MATCH('без учета бимомента,два тяжа'!$J147,'Геом. характеристики швеллера'!$A$6:$A$41,0)))+SIN(M$117*PI()/180)/(45*INDEX('Геом.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швеллера'!$A$6:$A$41,0))))</f>
        <v>897.28948705380367</v>
      </c>
      <c r="N147" s="53">
        <f>IF(((8*$E$17*$E$19/($E$12^2))/(COS(N$117*PI()/180)/(INDEX('Геом. характеристики швеллера'!$K$6:$K$41,MATCH('без учета бимомента,два тяжа'!$J147,'Геом. характеристики швеллера'!$A$6:$A$41,0)))+SIN(N$117*PI()/180)/(45*INDEX('Геом.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швеллера'!$A$6:$A$41,0)))&lt;((2*$E$17*$E$19/($E$12^2))/(5*COS(N$117*PI()/180)/(24*INDEX('Геом. характеристики швеллера'!$K$6:$K$41,MATCH('без учета бимомента,два тяжа'!$J147,'Геом. характеристики швеллера'!$A$6:$A$41,0)))+SIN(N$117*PI()/180)/(45*INDEX('Геом.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швеллера'!$A$6:$A$41,0))),((8*$E$17*$E$19/($E$12^2))/(COS(N$117*PI()/180)/(INDEX('Геом. характеристики швеллера'!$K$6:$K$41,MATCH('без учета бимомента,два тяжа'!$J147,'Геом. характеристики швеллера'!$A$6:$A$41,0)))+SIN(N$117*PI()/180)/(45*INDEX('Геом.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швеллера'!$A$6:$A$41,0))),((2*$E$17*$E$19/($E$12^2))/(5*COS(N$117*PI()/180)/(24*INDEX('Геом. характеристики швеллера'!$K$6:$K$41,MATCH('без учета бимомента,два тяжа'!$J147,'Геом. характеристики швеллера'!$A$6:$A$41,0)))+SIN(N$117*PI()/180)/(45*INDEX('Геом.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швеллера'!$A$6:$A$41,0))))</f>
        <v>903.79661919198929</v>
      </c>
      <c r="O147" s="53">
        <f>IF(((8*$E$17*$E$19/($E$12^2))/(COS(O$117*PI()/180)/(INDEX('Геом. характеристики швеллера'!$K$6:$K$41,MATCH('без учета бимомента,два тяжа'!$J147,'Геом. характеристики швеллера'!$A$6:$A$41,0)))+SIN(O$117*PI()/180)/(45*INDEX('Геом.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швеллера'!$A$6:$A$41,0)))&lt;((2*$E$17*$E$19/($E$12^2))/(5*COS(O$117*PI()/180)/(24*INDEX('Геом. характеристики швеллера'!$K$6:$K$41,MATCH('без учета бимомента,два тяжа'!$J147,'Геом. характеристики швеллера'!$A$6:$A$41,0)))+SIN(O$117*PI()/180)/(45*INDEX('Геом.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швеллера'!$A$6:$A$41,0))),((8*$E$17*$E$19/($E$12^2))/(COS(O$117*PI()/180)/(INDEX('Геом. характеристики швеллера'!$K$6:$K$41,MATCH('без учета бимомента,два тяжа'!$J147,'Геом. характеристики швеллера'!$A$6:$A$41,0)))+SIN(O$117*PI()/180)/(45*INDEX('Геом.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швеллера'!$A$6:$A$41,0))),((2*$E$17*$E$19/($E$12^2))/(5*COS(O$117*PI()/180)/(24*INDEX('Геом. характеристики швеллера'!$K$6:$K$41,MATCH('без учета бимомента,два тяжа'!$J147,'Геом. характеристики швеллера'!$A$6:$A$41,0)))+SIN(O$117*PI()/180)/(45*INDEX('Геом.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швеллера'!$A$6:$A$41,0))))</f>
        <v>917.5908528720156</v>
      </c>
      <c r="P147" s="53">
        <f>IF(((8*$E$17*$E$19/($E$12^2))/(COS(P$117*PI()/180)/(INDEX('Геом. характеристики швеллера'!$K$6:$K$41,MATCH('без учета бимомента,два тяжа'!$J147,'Геом. характеристики швеллера'!$A$6:$A$41,0)))+SIN(P$117*PI()/180)/(45*INDEX('Геом.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швеллера'!$A$6:$A$41,0)))&lt;((2*$E$17*$E$19/($E$12^2))/(5*COS(P$117*PI()/180)/(24*INDEX('Геом. характеристики швеллера'!$K$6:$K$41,MATCH('без учета бимомента,два тяжа'!$J147,'Геом. характеристики швеллера'!$A$6:$A$41,0)))+SIN(P$117*PI()/180)/(45*INDEX('Геом.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швеллера'!$A$6:$A$41,0))),((8*$E$17*$E$19/($E$12^2))/(COS(P$117*PI()/180)/(INDEX('Геом. характеристики швеллера'!$K$6:$K$41,MATCH('без учета бимомента,два тяжа'!$J147,'Геом. характеристики швеллера'!$A$6:$A$41,0)))+SIN(P$117*PI()/180)/(45*INDEX('Геом.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швеллера'!$A$6:$A$41,0))),((2*$E$17*$E$19/($E$12^2))/(5*COS(P$117*PI()/180)/(24*INDEX('Геом. характеристики швеллера'!$K$6:$K$41,MATCH('без учета бимомента,два тяжа'!$J147,'Геом. характеристики швеллера'!$A$6:$A$41,0)))+SIN(P$117*PI()/180)/(45*INDEX('Геом.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швеллера'!$A$6:$A$41,0))))</f>
        <v>915.57537075195773</v>
      </c>
      <c r="Q147" s="53">
        <f>IF(((8*$E$17*$E$19/($E$12^2))/(COS(Q$117*PI()/180)/(INDEX('Геом. характеристики швеллера'!$K$6:$K$41,MATCH('без учета бимомента,два тяжа'!$J147,'Геом. характеристики швеллера'!$A$6:$A$41,0)))+SIN(Q$117*PI()/180)/(45*INDEX('Геом.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швеллера'!$A$6:$A$41,0)))&lt;((2*$E$17*$E$19/($E$12^2))/(5*COS(Q$117*PI()/180)/(24*INDEX('Геом. характеристики швеллера'!$K$6:$K$41,MATCH('без учета бимомента,два тяжа'!$J147,'Геом. характеристики швеллера'!$A$6:$A$41,0)))+SIN(Q$117*PI()/180)/(45*INDEX('Геом.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швеллера'!$A$6:$A$41,0))),((8*$E$17*$E$19/($E$12^2))/(COS(Q$117*PI()/180)/(INDEX('Геом. характеристики швеллера'!$K$6:$K$41,MATCH('без учета бимомента,два тяжа'!$J147,'Геом. характеристики швеллера'!$A$6:$A$41,0)))+SIN(Q$117*PI()/180)/(45*INDEX('Геом.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швеллера'!$A$6:$A$41,0))),((2*$E$17*$E$19/($E$12^2))/(5*COS(Q$117*PI()/180)/(24*INDEX('Геом. характеристики швеллера'!$K$6:$K$41,MATCH('без учета бимомента,два тяжа'!$J147,'Геом. характеристики швеллера'!$A$6:$A$41,0)))+SIN(Q$117*PI()/180)/(45*INDEX('Геом. характеристики швеллера'!$O$6:$O$41,MATCH('без учета бимомента,два тяжа'!$J147,'Геом. характеристики швеллера'!$A$6:$A$41,0))))/10-INDEX('Геом. характеристики швеллера'!$I$6:$I$41,MATCH('без учета бимомента,два тяжа'!$J147,'Геом. характеристики швеллера'!$A$6:$A$41,0))))</f>
        <v>906.89358813828426</v>
      </c>
    </row>
    <row r="148" spans="1:17" ht="16.5" thickBot="1" x14ac:dyDescent="0.3">
      <c r="A148" s="2" t="s">
        <v>280</v>
      </c>
      <c r="J148" s="40" t="s">
        <v>218</v>
      </c>
      <c r="K148" s="53">
        <f>IF(((8*$E$17*$E$19/($E$12^2))/(COS(K$117*PI()/180)/(INDEX('Геом. характеристики швеллера'!$K$6:$K$41,MATCH('без учета бимомента,два тяжа'!$J148,'Геом. характеристики швеллера'!$A$6:$A$41,0)))+SIN(K$117*PI()/180)/(45*INDEX('Геом.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швеллера'!$A$6:$A$41,0)))&lt;((2*$E$17*$E$19/($E$12^2))/(5*COS(K$117*PI()/180)/(24*INDEX('Геом. характеристики швеллера'!$K$6:$K$41,MATCH('без учета бимомента,два тяжа'!$J148,'Геом. характеристики швеллера'!$A$6:$A$41,0)))+SIN(K$117*PI()/180)/(45*INDEX('Геом.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швеллера'!$A$6:$A$41,0))),((8*$E$17*$E$19/($E$12^2))/(COS(K$117*PI()/180)/(INDEX('Геом. характеристики швеллера'!$K$6:$K$41,MATCH('без учета бимомента,два тяжа'!$J148,'Геом. характеристики швеллера'!$A$6:$A$41,0)))+SIN(K$117*PI()/180)/(45*INDEX('Геом.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швеллера'!$A$6:$A$41,0))),((2*$E$17*$E$19/($E$12^2))/(5*COS(K$117*PI()/180)/(24*INDEX('Геом. характеристики швеллера'!$K$6:$K$41,MATCH('без учета бимомента,два тяжа'!$J148,'Геом. характеристики швеллера'!$A$6:$A$41,0)))+SIN(K$117*PI()/180)/(45*INDEX('Геом.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швеллера'!$A$6:$A$41,0))))</f>
        <v>1142.3999999999999</v>
      </c>
      <c r="L148" s="53">
        <f>IF(((8*$E$17*$E$19/($E$12^2))/(COS(L$117*PI()/180)/(INDEX('Геом. характеристики швеллера'!$K$6:$K$41,MATCH('без учета бимомента,два тяжа'!$J148,'Геом. характеристики швеллера'!$A$6:$A$41,0)))+SIN(L$117*PI()/180)/(45*INDEX('Геом.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швеллера'!$A$6:$A$41,0)))&lt;((2*$E$17*$E$19/($E$12^2))/(5*COS(L$117*PI()/180)/(24*INDEX('Геом. характеристики швеллера'!$K$6:$K$41,MATCH('без учета бимомента,два тяжа'!$J148,'Геом. характеристики швеллера'!$A$6:$A$41,0)))+SIN(L$117*PI()/180)/(45*INDEX('Геом.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швеллера'!$A$6:$A$41,0))),((8*$E$17*$E$19/($E$12^2))/(COS(L$117*PI()/180)/(INDEX('Геом. характеристики швеллера'!$K$6:$K$41,MATCH('без учета бимомента,два тяжа'!$J148,'Геом. характеристики швеллера'!$A$6:$A$41,0)))+SIN(L$117*PI()/180)/(45*INDEX('Геом.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швеллера'!$A$6:$A$41,0))),((2*$E$17*$E$19/($E$12^2))/(5*COS(L$117*PI()/180)/(24*INDEX('Геом. характеристики швеллера'!$K$6:$K$41,MATCH('без учета бимомента,два тяжа'!$J148,'Геом. характеристики швеллера'!$A$6:$A$41,0)))+SIN(L$117*PI()/180)/(45*INDEX('Геом.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швеллера'!$A$6:$A$41,0))))</f>
        <v>1133.0169851830544</v>
      </c>
      <c r="M148" s="53">
        <f>IF(((8*$E$17*$E$19/($E$12^2))/(COS(M$117*PI()/180)/(INDEX('Геом. характеристики швеллера'!$K$6:$K$41,MATCH('без учета бимомента,два тяжа'!$J148,'Геом. характеристики швеллера'!$A$6:$A$41,0)))+SIN(M$117*PI()/180)/(45*INDEX('Геом.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швеллера'!$A$6:$A$41,0)))&lt;((2*$E$17*$E$19/($E$12^2))/(5*COS(M$117*PI()/180)/(24*INDEX('Геом. характеристики швеллера'!$K$6:$K$41,MATCH('без учета бимомента,два тяжа'!$J148,'Геом. характеристики швеллера'!$A$6:$A$41,0)))+SIN(M$117*PI()/180)/(45*INDEX('Геом.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швеллера'!$A$6:$A$41,0))),((8*$E$17*$E$19/($E$12^2))/(COS(M$117*PI()/180)/(INDEX('Геом. характеристики швеллера'!$K$6:$K$41,MATCH('без учета бимомента,два тяжа'!$J148,'Геом. характеристики швеллера'!$A$6:$A$41,0)))+SIN(M$117*PI()/180)/(45*INDEX('Геом.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швеллера'!$A$6:$A$41,0))),((2*$E$17*$E$19/($E$12^2))/(5*COS(M$117*PI()/180)/(24*INDEX('Геом. характеристики швеллера'!$K$6:$K$41,MATCH('без учета бимомента,два тяжа'!$J148,'Геом. характеристики швеллера'!$A$6:$A$41,0)))+SIN(M$117*PI()/180)/(45*INDEX('Геом.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швеллера'!$A$6:$A$41,0))))</f>
        <v>1132.5152668431097</v>
      </c>
      <c r="N148" s="53">
        <f>IF(((8*$E$17*$E$19/($E$12^2))/(COS(N$117*PI()/180)/(INDEX('Геом. характеристики швеллера'!$K$6:$K$41,MATCH('без учета бимомента,два тяжа'!$J148,'Геом. характеристики швеллера'!$A$6:$A$41,0)))+SIN(N$117*PI()/180)/(45*INDEX('Геом.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швеллера'!$A$6:$A$41,0)))&lt;((2*$E$17*$E$19/($E$12^2))/(5*COS(N$117*PI()/180)/(24*INDEX('Геом. характеристики швеллера'!$K$6:$K$41,MATCH('без учета бимомента,два тяжа'!$J148,'Геом. характеристики швеллера'!$A$6:$A$41,0)))+SIN(N$117*PI()/180)/(45*INDEX('Геом.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швеллера'!$A$6:$A$41,0))),((8*$E$17*$E$19/($E$12^2))/(COS(N$117*PI()/180)/(INDEX('Геом. характеристики швеллера'!$K$6:$K$41,MATCH('без учета бимомента,два тяжа'!$J148,'Геом. характеристики швеллера'!$A$6:$A$41,0)))+SIN(N$117*PI()/180)/(45*INDEX('Геом.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швеллера'!$A$6:$A$41,0))),((2*$E$17*$E$19/($E$12^2))/(5*COS(N$117*PI()/180)/(24*INDEX('Геом. характеристики швеллера'!$K$6:$K$41,MATCH('без учета бимомента,два тяжа'!$J148,'Геом. характеристики швеллера'!$A$6:$A$41,0)))+SIN(N$117*PI()/180)/(45*INDEX('Геом.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швеллера'!$A$6:$A$41,0))))</f>
        <v>1140.8755470720455</v>
      </c>
      <c r="O148" s="53">
        <f>IF(((8*$E$17*$E$19/($E$12^2))/(COS(O$117*PI()/180)/(INDEX('Геом. характеристики швеллера'!$K$6:$K$41,MATCH('без учета бимомента,два тяжа'!$J148,'Геом. характеристики швеллера'!$A$6:$A$41,0)))+SIN(O$117*PI()/180)/(45*INDEX('Геом.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швеллера'!$A$6:$A$41,0)))&lt;((2*$E$17*$E$19/($E$12^2))/(5*COS(O$117*PI()/180)/(24*INDEX('Геом. характеристики швеллера'!$K$6:$K$41,MATCH('без учета бимомента,два тяжа'!$J148,'Геом. характеристики швеллера'!$A$6:$A$41,0)))+SIN(O$117*PI()/180)/(45*INDEX('Геом.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швеллера'!$A$6:$A$41,0))),((8*$E$17*$E$19/($E$12^2))/(COS(O$117*PI()/180)/(INDEX('Геом. характеристики швеллера'!$K$6:$K$41,MATCH('без учета бимомента,два тяжа'!$J148,'Геом. характеристики швеллера'!$A$6:$A$41,0)))+SIN(O$117*PI()/180)/(45*INDEX('Геом.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швеллера'!$A$6:$A$41,0))),((2*$E$17*$E$19/($E$12^2))/(5*COS(O$117*PI()/180)/(24*INDEX('Геом. характеристики швеллера'!$K$6:$K$41,MATCH('без учета бимомента,два тяжа'!$J148,'Геом. характеристики швеллера'!$A$6:$A$41,0)))+SIN(O$117*PI()/180)/(45*INDEX('Геом.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швеллера'!$A$6:$A$41,0))))</f>
        <v>1158.4220494166725</v>
      </c>
      <c r="P148" s="53">
        <f>IF(((8*$E$17*$E$19/($E$12^2))/(COS(P$117*PI()/180)/(INDEX('Геом. характеристики швеллера'!$K$6:$K$41,MATCH('без учета бимомента,два тяжа'!$J148,'Геом. характеристики швеллера'!$A$6:$A$41,0)))+SIN(P$117*PI()/180)/(45*INDEX('Геом.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швеллера'!$A$6:$A$41,0)))&lt;((2*$E$17*$E$19/($E$12^2))/(5*COS(P$117*PI()/180)/(24*INDEX('Геом. характеристики швеллера'!$K$6:$K$41,MATCH('без учета бимомента,два тяжа'!$J148,'Геом. характеристики швеллера'!$A$6:$A$41,0)))+SIN(P$117*PI()/180)/(45*INDEX('Геом.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швеллера'!$A$6:$A$41,0))),((8*$E$17*$E$19/($E$12^2))/(COS(P$117*PI()/180)/(INDEX('Геом. характеристики швеллера'!$K$6:$K$41,MATCH('без учета бимомента,два тяжа'!$J148,'Геом. характеристики швеллера'!$A$6:$A$41,0)))+SIN(P$117*PI()/180)/(45*INDEX('Геом.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швеллера'!$A$6:$A$41,0))),((2*$E$17*$E$19/($E$12^2))/(5*COS(P$117*PI()/180)/(24*INDEX('Геом. характеристики швеллера'!$K$6:$K$41,MATCH('без учета бимомента,два тяжа'!$J148,'Геом. характеристики швеллера'!$A$6:$A$41,0)))+SIN(P$117*PI()/180)/(45*INDEX('Геом.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швеллера'!$A$6:$A$41,0))))</f>
        <v>1158.5307439007584</v>
      </c>
      <c r="Q148" s="53">
        <f>IF(((8*$E$17*$E$19/($E$12^2))/(COS(Q$117*PI()/180)/(INDEX('Геом. характеристики швеллера'!$K$6:$K$41,MATCH('без учета бимомента,два тяжа'!$J148,'Геом. характеристики швеллера'!$A$6:$A$41,0)))+SIN(Q$117*PI()/180)/(45*INDEX('Геом.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швеллера'!$A$6:$A$41,0)))&lt;((2*$E$17*$E$19/($E$12^2))/(5*COS(Q$117*PI()/180)/(24*INDEX('Геом. характеристики швеллера'!$K$6:$K$41,MATCH('без учета бимомента,два тяжа'!$J148,'Геом. характеристики швеллера'!$A$6:$A$41,0)))+SIN(Q$117*PI()/180)/(45*INDEX('Геом.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швеллера'!$A$6:$A$41,0))),((8*$E$17*$E$19/($E$12^2))/(COS(Q$117*PI()/180)/(INDEX('Геом. характеристики швеллера'!$K$6:$K$41,MATCH('без учета бимомента,два тяжа'!$J148,'Геом. характеристики швеллера'!$A$6:$A$41,0)))+SIN(Q$117*PI()/180)/(45*INDEX('Геом.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швеллера'!$A$6:$A$41,0))),((2*$E$17*$E$19/($E$12^2))/(5*COS(Q$117*PI()/180)/(24*INDEX('Геом. характеристики швеллера'!$K$6:$K$41,MATCH('без учета бимомента,два тяжа'!$J148,'Геом. характеристики швеллера'!$A$6:$A$41,0)))+SIN(Q$117*PI()/180)/(45*INDEX('Геом. характеристики швеллера'!$O$6:$O$41,MATCH('без учета бимомента,два тяжа'!$J148,'Геом. характеристики швеллера'!$A$6:$A$41,0))))/10-INDEX('Геом. характеристики швеллера'!$I$6:$I$41,MATCH('без учета бимомента,два тяжа'!$J148,'Геом. характеристики швеллера'!$A$6:$A$41,0))))</f>
        <v>1148.1369563418157</v>
      </c>
    </row>
    <row r="149" spans="1:17" ht="16.5" thickBot="1" x14ac:dyDescent="0.3">
      <c r="J149" s="40" t="s">
        <v>221</v>
      </c>
      <c r="K149" s="53">
        <f>IF(((8*$E$17*$E$19/($E$12^2))/(COS(K$117*PI()/180)/(INDEX('Геом. характеристики швеллера'!$K$6:$K$41,MATCH('без учета бимомента,два тяжа'!$J149,'Геом. характеристики швеллера'!$A$6:$A$41,0)))+SIN(K$117*PI()/180)/(45*INDEX('Геом.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швеллера'!$A$6:$A$41,0)))&lt;((2*$E$17*$E$19/($E$12^2))/(5*COS(K$117*PI()/180)/(24*INDEX('Геом. характеристики швеллера'!$K$6:$K$41,MATCH('без учета бимомента,два тяжа'!$J149,'Геом. характеристики швеллера'!$A$6:$A$41,0)))+SIN(K$117*PI()/180)/(45*INDEX('Геом.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швеллера'!$A$6:$A$41,0))),((8*$E$17*$E$19/($E$12^2))/(COS(K$117*PI()/180)/(INDEX('Геом. характеристики швеллера'!$K$6:$K$41,MATCH('без учета бимомента,два тяжа'!$J149,'Геом. характеристики швеллера'!$A$6:$A$41,0)))+SIN(K$117*PI()/180)/(45*INDEX('Геом.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швеллера'!$A$6:$A$41,0))),((2*$E$17*$E$19/($E$12^2))/(5*COS(K$117*PI()/180)/(24*INDEX('Геом. характеристики швеллера'!$K$6:$K$41,MATCH('без учета бимомента,два тяжа'!$J149,'Геом. характеристики швеллера'!$A$6:$A$41,0)))+SIN(K$117*PI()/180)/(45*INDEX('Геом.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швеллера'!$A$6:$A$41,0))))</f>
        <v>1460.3</v>
      </c>
      <c r="L149" s="53">
        <f>IF(((8*$E$17*$E$19/($E$12^2))/(COS(L$117*PI()/180)/(INDEX('Геом. характеристики швеллера'!$K$6:$K$41,MATCH('без учета бимомента,два тяжа'!$J149,'Геом. характеристики швеллера'!$A$6:$A$41,0)))+SIN(L$117*PI()/180)/(45*INDEX('Геом.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швеллера'!$A$6:$A$41,0)))&lt;((2*$E$17*$E$19/($E$12^2))/(5*COS(L$117*PI()/180)/(24*INDEX('Геом. характеристики швеллера'!$K$6:$K$41,MATCH('без учета бимомента,два тяжа'!$J149,'Геом. характеристики швеллера'!$A$6:$A$41,0)))+SIN(L$117*PI()/180)/(45*INDEX('Геом.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швеллера'!$A$6:$A$41,0))),((8*$E$17*$E$19/($E$12^2))/(COS(L$117*PI()/180)/(INDEX('Геом. характеристики швеллера'!$K$6:$K$41,MATCH('без учета бимомента,два тяжа'!$J149,'Геом. характеристики швеллера'!$A$6:$A$41,0)))+SIN(L$117*PI()/180)/(45*INDEX('Геом.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швеллера'!$A$6:$A$41,0))),((2*$E$17*$E$19/($E$12^2))/(5*COS(L$117*PI()/180)/(24*INDEX('Геом. характеристики швеллера'!$K$6:$K$41,MATCH('без учета бимомента,два тяжа'!$J149,'Геом. характеристики швеллера'!$A$6:$A$41,0)))+SIN(L$117*PI()/180)/(45*INDEX('Геом.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швеллера'!$A$6:$A$41,0))))</f>
        <v>1446.9523866881202</v>
      </c>
      <c r="M149" s="53">
        <f>IF(((8*$E$17*$E$19/($E$12^2))/(COS(M$117*PI()/180)/(INDEX('Геом. характеристики швеллера'!$K$6:$K$41,MATCH('без учета бимомента,два тяжа'!$J149,'Геом. характеристики швеллера'!$A$6:$A$41,0)))+SIN(M$117*PI()/180)/(45*INDEX('Геом.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швеллера'!$A$6:$A$41,0)))&lt;((2*$E$17*$E$19/($E$12^2))/(5*COS(M$117*PI()/180)/(24*INDEX('Геом. характеристики швеллера'!$K$6:$K$41,MATCH('без учета бимомента,два тяжа'!$J149,'Геом. характеристики швеллера'!$A$6:$A$41,0)))+SIN(M$117*PI()/180)/(45*INDEX('Геом.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швеллера'!$A$6:$A$41,0))),((8*$E$17*$E$19/($E$12^2))/(COS(M$117*PI()/180)/(INDEX('Геом. характеристики швеллера'!$K$6:$K$41,MATCH('без учета бимомента,два тяжа'!$J149,'Геом. характеристики швеллера'!$A$6:$A$41,0)))+SIN(M$117*PI()/180)/(45*INDEX('Геом.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швеллера'!$A$6:$A$41,0))),((2*$E$17*$E$19/($E$12^2))/(5*COS(M$117*PI()/180)/(24*INDEX('Геом. характеристики швеллера'!$K$6:$K$41,MATCH('без учета бимомента,два тяжа'!$J149,'Геом. характеристики швеллера'!$A$6:$A$41,0)))+SIN(M$117*PI()/180)/(45*INDEX('Геом.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швеллера'!$A$6:$A$41,0))))</f>
        <v>1444.9502208994247</v>
      </c>
      <c r="N149" s="53">
        <f>IF(((8*$E$17*$E$19/($E$12^2))/(COS(N$117*PI()/180)/(INDEX('Геом. характеристики швеллера'!$K$6:$K$41,MATCH('без учета бимомента,два тяжа'!$J149,'Геом. характеристики швеллера'!$A$6:$A$41,0)))+SIN(N$117*PI()/180)/(45*INDEX('Геом.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швеллера'!$A$6:$A$41,0)))&lt;((2*$E$17*$E$19/($E$12^2))/(5*COS(N$117*PI()/180)/(24*INDEX('Геом. характеристики швеллера'!$K$6:$K$41,MATCH('без учета бимомента,два тяжа'!$J149,'Геом. характеристики швеллера'!$A$6:$A$41,0)))+SIN(N$117*PI()/180)/(45*INDEX('Геом.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швеллера'!$A$6:$A$41,0))),((8*$E$17*$E$19/($E$12^2))/(COS(N$117*PI()/180)/(INDEX('Геом. характеристики швеллера'!$K$6:$K$41,MATCH('без учета бимомента,два тяжа'!$J149,'Геом. характеристики швеллера'!$A$6:$A$41,0)))+SIN(N$117*PI()/180)/(45*INDEX('Геом.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швеллера'!$A$6:$A$41,0))),((2*$E$17*$E$19/($E$12^2))/(5*COS(N$117*PI()/180)/(24*INDEX('Геом. характеристики швеллера'!$K$6:$K$41,MATCH('без учета бимомента,два тяжа'!$J149,'Геом. характеристики швеллера'!$A$6:$A$41,0)))+SIN(N$117*PI()/180)/(45*INDEX('Геом.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швеллера'!$A$6:$A$41,0))))</f>
        <v>1454.2164716686025</v>
      </c>
      <c r="O149" s="53">
        <f>IF(((8*$E$17*$E$19/($E$12^2))/(COS(O$117*PI()/180)/(INDEX('Геом. характеристики швеллера'!$K$6:$K$41,MATCH('без учета бимомента,два тяжа'!$J149,'Геом. характеристики швеллера'!$A$6:$A$41,0)))+SIN(O$117*PI()/180)/(45*INDEX('Геом.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швеллера'!$A$6:$A$41,0)))&lt;((2*$E$17*$E$19/($E$12^2))/(5*COS(O$117*PI()/180)/(24*INDEX('Геом. характеристики швеллера'!$K$6:$K$41,MATCH('без учета бимомента,два тяжа'!$J149,'Геом. характеристики швеллера'!$A$6:$A$41,0)))+SIN(O$117*PI()/180)/(45*INDEX('Геом.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швеллера'!$A$6:$A$41,0))),((8*$E$17*$E$19/($E$12^2))/(COS(O$117*PI()/180)/(INDEX('Геом. характеристики швеллера'!$K$6:$K$41,MATCH('без учета бимомента,два тяжа'!$J149,'Геом. характеристики швеллера'!$A$6:$A$41,0)))+SIN(O$117*PI()/180)/(45*INDEX('Геом.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швеллера'!$A$6:$A$41,0))),((2*$E$17*$E$19/($E$12^2))/(5*COS(O$117*PI()/180)/(24*INDEX('Геом. характеристики швеллера'!$K$6:$K$41,MATCH('без учета бимомента,два тяжа'!$J149,'Геом. характеристики швеллера'!$A$6:$A$41,0)))+SIN(O$117*PI()/180)/(45*INDEX('Геом.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швеллера'!$A$6:$A$41,0))))</f>
        <v>1475.1097831471418</v>
      </c>
      <c r="P149" s="53">
        <f>IF(((8*$E$17*$E$19/($E$12^2))/(COS(P$117*PI()/180)/(INDEX('Геом. характеристики швеллера'!$K$6:$K$41,MATCH('без учета бимомента,два тяжа'!$J149,'Геом. характеристики швеллера'!$A$6:$A$41,0)))+SIN(P$117*PI()/180)/(45*INDEX('Геом.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швеллера'!$A$6:$A$41,0)))&lt;((2*$E$17*$E$19/($E$12^2))/(5*COS(P$117*PI()/180)/(24*INDEX('Геом. характеристики швеллера'!$K$6:$K$41,MATCH('без учета бимомента,два тяжа'!$J149,'Геом. характеристики швеллера'!$A$6:$A$41,0)))+SIN(P$117*PI()/180)/(45*INDEX('Геом.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швеллера'!$A$6:$A$41,0))),((8*$E$17*$E$19/($E$12^2))/(COS(P$117*PI()/180)/(INDEX('Геом. характеристики швеллера'!$K$6:$K$41,MATCH('без учета бимомента,два тяжа'!$J149,'Геом. характеристики швеллера'!$A$6:$A$41,0)))+SIN(P$117*PI()/180)/(45*INDEX('Геом.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швеллера'!$A$6:$A$41,0))),((2*$E$17*$E$19/($E$12^2))/(5*COS(P$117*PI()/180)/(24*INDEX('Геом. характеристики швеллера'!$K$6:$K$41,MATCH('без учета бимомента,два тяжа'!$J149,'Геом. характеристики швеллера'!$A$6:$A$41,0)))+SIN(P$117*PI()/180)/(45*INDEX('Геом.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швеллера'!$A$6:$A$41,0))))</f>
        <v>1453.4505813432525</v>
      </c>
      <c r="Q149" s="53">
        <f>IF(((8*$E$17*$E$19/($E$12^2))/(COS(Q$117*PI()/180)/(INDEX('Геом. характеристики швеллера'!$K$6:$K$41,MATCH('без учета бимомента,два тяжа'!$J149,'Геом. характеристики швеллера'!$A$6:$A$41,0)))+SIN(Q$117*PI()/180)/(45*INDEX('Геом.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швеллера'!$A$6:$A$41,0)))&lt;((2*$E$17*$E$19/($E$12^2))/(5*COS(Q$117*PI()/180)/(24*INDEX('Геом. характеристики швеллера'!$K$6:$K$41,MATCH('без учета бимомента,два тяжа'!$J149,'Геом. характеристики швеллера'!$A$6:$A$41,0)))+SIN(Q$117*PI()/180)/(45*INDEX('Геом.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швеллера'!$A$6:$A$41,0))),((8*$E$17*$E$19/($E$12^2))/(COS(Q$117*PI()/180)/(INDEX('Геом. характеристики швеллера'!$K$6:$K$41,MATCH('без учета бимомента,два тяжа'!$J149,'Геом. характеристики швеллера'!$A$6:$A$41,0)))+SIN(Q$117*PI()/180)/(45*INDEX('Геом.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швеллера'!$A$6:$A$41,0))),((2*$E$17*$E$19/($E$12^2))/(5*COS(Q$117*PI()/180)/(24*INDEX('Геом. характеристики швеллера'!$K$6:$K$41,MATCH('без учета бимомента,два тяжа'!$J149,'Геом. характеристики швеллера'!$A$6:$A$41,0)))+SIN(Q$117*PI()/180)/(45*INDEX('Геом. характеристики швеллера'!$O$6:$O$41,MATCH('без учета бимомента,два тяжа'!$J149,'Геом. характеристики швеллера'!$A$6:$A$41,0))))/10-INDEX('Геом. характеристики швеллера'!$I$6:$I$41,MATCH('без учета бимомента,два тяжа'!$J149,'Геом. характеристики швеллера'!$A$6:$A$41,0))))</f>
        <v>1435.8366945236385</v>
      </c>
    </row>
    <row r="150" spans="1:17" ht="16.5" thickBot="1" x14ac:dyDescent="0.3">
      <c r="A150" s="2" t="s">
        <v>282</v>
      </c>
      <c r="J150" s="40" t="s">
        <v>222</v>
      </c>
      <c r="K150" s="53">
        <f>IF(((8*$E$17*$E$19/($E$12^2))/(COS(K$117*PI()/180)/(INDEX('Геом. характеристики швеллера'!$K$6:$K$41,MATCH('без учета бимомента,два тяжа'!$J150,'Геом. характеристики швеллера'!$A$6:$A$41,0)))+SIN(K$117*PI()/180)/(45*INDEX('Геом.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швеллера'!$A$6:$A$41,0)))&lt;((2*$E$17*$E$19/($E$12^2))/(5*COS(K$117*PI()/180)/(24*INDEX('Геом. характеристики швеллера'!$K$6:$K$41,MATCH('без учета бимомента,два тяжа'!$J150,'Геом. характеристики швеллера'!$A$6:$A$41,0)))+SIN(K$117*PI()/180)/(45*INDEX('Геом.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швеллера'!$A$6:$A$41,0))),((8*$E$17*$E$19/($E$12^2))/(COS(K$117*PI()/180)/(INDEX('Геом. характеристики швеллера'!$K$6:$K$41,MATCH('без учета бимомента,два тяжа'!$J150,'Геом. характеристики швеллера'!$A$6:$A$41,0)))+SIN(K$117*PI()/180)/(45*INDEX('Геом.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швеллера'!$A$6:$A$41,0))),((2*$E$17*$E$19/($E$12^2))/(5*COS(K$117*PI()/180)/(24*INDEX('Геом. характеристики швеллера'!$K$6:$K$41,MATCH('без учета бимомента,два тяжа'!$J150,'Геом. характеристики швеллера'!$A$6:$A$41,0)))+SIN(K$117*PI()/180)/(45*INDEX('Геом.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швеллера'!$A$6:$A$41,0))))</f>
        <v>1835.4</v>
      </c>
      <c r="L150" s="53">
        <f>IF(((8*$E$17*$E$19/($E$12^2))/(COS(L$117*PI()/180)/(INDEX('Геом. характеристики швеллера'!$K$6:$K$41,MATCH('без учета бимомента,два тяжа'!$J150,'Геом. характеристики швеллера'!$A$6:$A$41,0)))+SIN(L$117*PI()/180)/(45*INDEX('Геом.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швеллера'!$A$6:$A$41,0)))&lt;((2*$E$17*$E$19/($E$12^2))/(5*COS(L$117*PI()/180)/(24*INDEX('Геом. характеристики швеллера'!$K$6:$K$41,MATCH('без учета бимомента,два тяжа'!$J150,'Геом. характеристики швеллера'!$A$6:$A$41,0)))+SIN(L$117*PI()/180)/(45*INDEX('Геом.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швеллера'!$A$6:$A$41,0))),((8*$E$17*$E$19/($E$12^2))/(COS(L$117*PI()/180)/(INDEX('Геом. характеристики швеллера'!$K$6:$K$41,MATCH('без учета бимомента,два тяжа'!$J150,'Геом. характеристики швеллера'!$A$6:$A$41,0)))+SIN(L$117*PI()/180)/(45*INDEX('Геом.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швеллера'!$A$6:$A$41,0))),((2*$E$17*$E$19/($E$12^2))/(5*COS(L$117*PI()/180)/(24*INDEX('Геом. характеристики швеллера'!$K$6:$K$41,MATCH('без учета бимомента,два тяжа'!$J150,'Геом. характеристики швеллера'!$A$6:$A$41,0)))+SIN(L$117*PI()/180)/(45*INDEX('Геом.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швеллера'!$A$6:$A$41,0))))</f>
        <v>1817.0170089874989</v>
      </c>
      <c r="M150" s="53">
        <f>IF(((8*$E$17*$E$19/($E$12^2))/(COS(M$117*PI()/180)/(INDEX('Геом. характеристики швеллера'!$K$6:$K$41,MATCH('без учета бимомента,два тяжа'!$J150,'Геом. характеристики швеллера'!$A$6:$A$41,0)))+SIN(M$117*PI()/180)/(45*INDEX('Геом.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швеллера'!$A$6:$A$41,0)))&lt;((2*$E$17*$E$19/($E$12^2))/(5*COS(M$117*PI()/180)/(24*INDEX('Геом. характеристики швеллера'!$K$6:$K$41,MATCH('без учета бимомента,два тяжа'!$J150,'Геом. характеристики швеллера'!$A$6:$A$41,0)))+SIN(M$117*PI()/180)/(45*INDEX('Геом.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швеллера'!$A$6:$A$41,0))),((8*$E$17*$E$19/($E$12^2))/(COS(M$117*PI()/180)/(INDEX('Геом. характеристики швеллера'!$K$6:$K$41,MATCH('без учета бимомента,два тяжа'!$J150,'Геом. характеристики швеллера'!$A$6:$A$41,0)))+SIN(M$117*PI()/180)/(45*INDEX('Геом.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швеллера'!$A$6:$A$41,0))),((2*$E$17*$E$19/($E$12^2))/(5*COS(M$117*PI()/180)/(24*INDEX('Геом. характеристики швеллера'!$K$6:$K$41,MATCH('без учета бимомента,два тяжа'!$J150,'Геом. характеристики швеллера'!$A$6:$A$41,0)))+SIN(M$117*PI()/180)/(45*INDEX('Геом.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швеллера'!$A$6:$A$41,0))))</f>
        <v>1812.8948277977408</v>
      </c>
      <c r="N150" s="53">
        <f>IF(((8*$E$17*$E$19/($E$12^2))/(COS(N$117*PI()/180)/(INDEX('Геом. характеристики швеллера'!$K$6:$K$41,MATCH('без учета бимомента,два тяжа'!$J150,'Геом. характеристики швеллера'!$A$6:$A$41,0)))+SIN(N$117*PI()/180)/(45*INDEX('Геом.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швеллера'!$A$6:$A$41,0)))&lt;((2*$E$17*$E$19/($E$12^2))/(5*COS(N$117*PI()/180)/(24*INDEX('Геом. характеристики швеллера'!$K$6:$K$41,MATCH('без учета бимомента,два тяжа'!$J150,'Геом. характеристики швеллера'!$A$6:$A$41,0)))+SIN(N$117*PI()/180)/(45*INDEX('Геом.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швеллера'!$A$6:$A$41,0))),((8*$E$17*$E$19/($E$12^2))/(COS(N$117*PI()/180)/(INDEX('Геом. характеристики швеллера'!$K$6:$K$41,MATCH('без учета бимомента,два тяжа'!$J150,'Геом. характеристики швеллера'!$A$6:$A$41,0)))+SIN(N$117*PI()/180)/(45*INDEX('Геом.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швеллера'!$A$6:$A$41,0))),((2*$E$17*$E$19/($E$12^2))/(5*COS(N$117*PI()/180)/(24*INDEX('Геом. характеристики швеллера'!$K$6:$K$41,MATCH('без учета бимомента,два тяжа'!$J150,'Геом. характеристики швеллера'!$A$6:$A$41,0)))+SIN(N$117*PI()/180)/(45*INDEX('Геом.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швеллера'!$A$6:$A$41,0))))</f>
        <v>1822.8747808993655</v>
      </c>
      <c r="O150" s="53">
        <f>IF(((8*$E$17*$E$19/($E$12^2))/(COS(O$117*PI()/180)/(INDEX('Геом. характеристики швеллера'!$K$6:$K$41,MATCH('без учета бимомента,два тяжа'!$J150,'Геом. характеристики швеллера'!$A$6:$A$41,0)))+SIN(O$117*PI()/180)/(45*INDEX('Геом.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швеллера'!$A$6:$A$41,0)))&lt;((2*$E$17*$E$19/($E$12^2))/(5*COS(O$117*PI()/180)/(24*INDEX('Геом. характеристики швеллера'!$K$6:$K$41,MATCH('без учета бимомента,два тяжа'!$J150,'Геом. характеристики швеллера'!$A$6:$A$41,0)))+SIN(O$117*PI()/180)/(45*INDEX('Геом.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швеллера'!$A$6:$A$41,0))),((8*$E$17*$E$19/($E$12^2))/(COS(O$117*PI()/180)/(INDEX('Геом. характеристики швеллера'!$K$6:$K$41,MATCH('без учета бимомента,два тяжа'!$J150,'Геом. характеристики швеллера'!$A$6:$A$41,0)))+SIN(O$117*PI()/180)/(45*INDEX('Геом.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швеллера'!$A$6:$A$41,0))),((2*$E$17*$E$19/($E$12^2))/(5*COS(O$117*PI()/180)/(24*INDEX('Геом. характеристики швеллера'!$K$6:$K$41,MATCH('без учета бимомента,два тяжа'!$J150,'Геом. характеристики швеллера'!$A$6:$A$41,0)))+SIN(O$117*PI()/180)/(45*INDEX('Геом.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швеллера'!$A$6:$A$41,0))))</f>
        <v>1837.4832891417723</v>
      </c>
      <c r="P150" s="53">
        <f>IF(((8*$E$17*$E$19/($E$12^2))/(COS(P$117*PI()/180)/(INDEX('Геом. характеристики швеллера'!$K$6:$K$41,MATCH('без учета бимомента,два тяжа'!$J150,'Геом. характеристики швеллера'!$A$6:$A$41,0)))+SIN(P$117*PI()/180)/(45*INDEX('Геом.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швеллера'!$A$6:$A$41,0)))&lt;((2*$E$17*$E$19/($E$12^2))/(5*COS(P$117*PI()/180)/(24*INDEX('Геом. характеристики швеллера'!$K$6:$K$41,MATCH('без учета бимомента,два тяжа'!$J150,'Геом. характеристики швеллера'!$A$6:$A$41,0)))+SIN(P$117*PI()/180)/(45*INDEX('Геом.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швеллера'!$A$6:$A$41,0))),((8*$E$17*$E$19/($E$12^2))/(COS(P$117*PI()/180)/(INDEX('Геом. характеристики швеллера'!$K$6:$K$41,MATCH('без учета бимомента,два тяжа'!$J150,'Геом. характеристики швеллера'!$A$6:$A$41,0)))+SIN(P$117*PI()/180)/(45*INDEX('Геом.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швеллера'!$A$6:$A$41,0))),((2*$E$17*$E$19/($E$12^2))/(5*COS(P$117*PI()/180)/(24*INDEX('Геом. характеристики швеллера'!$K$6:$K$41,MATCH('без учета бимомента,два тяжа'!$J150,'Геом. характеристики швеллера'!$A$6:$A$41,0)))+SIN(P$117*PI()/180)/(45*INDEX('Геом.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швеллера'!$A$6:$A$41,0))))</f>
        <v>1795.3475928375021</v>
      </c>
      <c r="Q150" s="53">
        <f>IF(((8*$E$17*$E$19/($E$12^2))/(COS(Q$117*PI()/180)/(INDEX('Геом. характеристики швеллера'!$K$6:$K$41,MATCH('без учета бимомента,два тяжа'!$J150,'Геом. характеристики швеллера'!$A$6:$A$41,0)))+SIN(Q$117*PI()/180)/(45*INDEX('Геом.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швеллера'!$A$6:$A$41,0)))&lt;((2*$E$17*$E$19/($E$12^2))/(5*COS(Q$117*PI()/180)/(24*INDEX('Геом. характеристики швеллера'!$K$6:$K$41,MATCH('без учета бимомента,два тяжа'!$J150,'Геом. характеристики швеллера'!$A$6:$A$41,0)))+SIN(Q$117*PI()/180)/(45*INDEX('Геом.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швеллера'!$A$6:$A$41,0))),((8*$E$17*$E$19/($E$12^2))/(COS(Q$117*PI()/180)/(INDEX('Геом. характеристики швеллера'!$K$6:$K$41,MATCH('без учета бимомента,два тяжа'!$J150,'Геом. характеристики швеллера'!$A$6:$A$41,0)))+SIN(Q$117*PI()/180)/(45*INDEX('Геом.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швеллера'!$A$6:$A$41,0))),((2*$E$17*$E$19/($E$12^2))/(5*COS(Q$117*PI()/180)/(24*INDEX('Геом. характеристики швеллера'!$K$6:$K$41,MATCH('без учета бимомента,два тяжа'!$J150,'Геом. характеристики швеллера'!$A$6:$A$41,0)))+SIN(Q$117*PI()/180)/(45*INDEX('Геом. характеристики швеллера'!$O$6:$O$41,MATCH('без учета бимомента,два тяжа'!$J150,'Геом. характеристики швеллера'!$A$6:$A$41,0))))/10-INDEX('Геом. характеристики швеллера'!$I$6:$I$41,MATCH('без учета бимомента,два тяжа'!$J150,'Геом. характеристики швеллера'!$A$6:$A$41,0))))</f>
        <v>1768.4686930378127</v>
      </c>
    </row>
    <row r="151" spans="1:17" ht="16.5" thickBot="1" x14ac:dyDescent="0.3">
      <c r="J151" s="40" t="s">
        <v>224</v>
      </c>
      <c r="K151" s="53">
        <f>IF(((8*$E$17*$E$19/($E$12^2))/(COS(K$117*PI()/180)/(INDEX('Геом. характеристики швеллера'!$K$6:$K$41,MATCH('без учета бимомента,два тяжа'!$J151,'Геом. характеристики швеллера'!$A$6:$A$41,0)))+SIN(K$117*PI()/180)/(45*INDEX('Геом.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швеллера'!$A$6:$A$41,0)))&lt;((2*$E$17*$E$19/($E$12^2))/(5*COS(K$117*PI()/180)/(24*INDEX('Геом. характеристики швеллера'!$K$6:$K$41,MATCH('без учета бимомента,два тяжа'!$J151,'Геом. характеристики швеллера'!$A$6:$A$41,0)))+SIN(K$117*PI()/180)/(45*INDEX('Геом.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швеллера'!$A$6:$A$41,0))),((8*$E$17*$E$19/($E$12^2))/(COS(K$117*PI()/180)/(INDEX('Геом. характеристики швеллера'!$K$6:$K$41,MATCH('без учета бимомента,два тяжа'!$J151,'Геом. характеристики швеллера'!$A$6:$A$41,0)))+SIN(K$117*PI()/180)/(45*INDEX('Геом.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швеллера'!$A$6:$A$41,0))),((2*$E$17*$E$19/($E$12^2))/(5*COS(K$117*PI()/180)/(24*INDEX('Геом. характеристики швеллера'!$K$6:$K$41,MATCH('без учета бимомента,два тяжа'!$J151,'Геом. характеристики швеллера'!$A$6:$A$41,0)))+SIN(K$117*PI()/180)/(45*INDEX('Геом.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швеллера'!$A$6:$A$41,0))))</f>
        <v>2296.2999999999997</v>
      </c>
      <c r="L151" s="53">
        <f>IF(((8*$E$17*$E$19/($E$12^2))/(COS(L$117*PI()/180)/(INDEX('Геом. характеристики швеллера'!$K$6:$K$41,MATCH('без учета бимомента,два тяжа'!$J151,'Геом. характеристики швеллера'!$A$6:$A$41,0)))+SIN(L$117*PI()/180)/(45*INDEX('Геом.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швеллера'!$A$6:$A$41,0)))&lt;((2*$E$17*$E$19/($E$12^2))/(5*COS(L$117*PI()/180)/(24*INDEX('Геом. характеристики швеллера'!$K$6:$K$41,MATCH('без учета бимомента,два тяжа'!$J151,'Геом. характеристики швеллера'!$A$6:$A$41,0)))+SIN(L$117*PI()/180)/(45*INDEX('Геом.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швеллера'!$A$6:$A$41,0))),((8*$E$17*$E$19/($E$12^2))/(COS(L$117*PI()/180)/(INDEX('Геом. характеристики швеллера'!$K$6:$K$41,MATCH('без учета бимомента,два тяжа'!$J151,'Геом. характеристики швеллера'!$A$6:$A$41,0)))+SIN(L$117*PI()/180)/(45*INDEX('Геом.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швеллера'!$A$6:$A$41,0))),((2*$E$17*$E$19/($E$12^2))/(5*COS(L$117*PI()/180)/(24*INDEX('Геом. характеристики швеллера'!$K$6:$K$41,MATCH('без учета бимомента,два тяжа'!$J151,'Геом. характеристики швеллера'!$A$6:$A$41,0)))+SIN(L$117*PI()/180)/(45*INDEX('Геом.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швеллера'!$A$6:$A$41,0))))</f>
        <v>2271.4534336921274</v>
      </c>
      <c r="M151" s="53">
        <f>IF(((8*$E$17*$E$19/($E$12^2))/(COS(M$117*PI()/180)/(INDEX('Геом. характеристики швеллера'!$K$6:$K$41,MATCH('без учета бимомента,два тяжа'!$J151,'Геом. характеристики швеллера'!$A$6:$A$41,0)))+SIN(M$117*PI()/180)/(45*INDEX('Геом.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швеллера'!$A$6:$A$41,0)))&lt;((2*$E$17*$E$19/($E$12^2))/(5*COS(M$117*PI()/180)/(24*INDEX('Геом. характеристики швеллера'!$K$6:$K$41,MATCH('без учета бимомента,два тяжа'!$J151,'Геом. характеристики швеллера'!$A$6:$A$41,0)))+SIN(M$117*PI()/180)/(45*INDEX('Геом.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швеллера'!$A$6:$A$41,0))),((8*$E$17*$E$19/($E$12^2))/(COS(M$117*PI()/180)/(INDEX('Геом. характеристики швеллера'!$K$6:$K$41,MATCH('без учета бимомента,два тяжа'!$J151,'Геом. характеристики швеллера'!$A$6:$A$41,0)))+SIN(M$117*PI()/180)/(45*INDEX('Геом.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швеллера'!$A$6:$A$41,0))),((2*$E$17*$E$19/($E$12^2))/(5*COS(M$117*PI()/180)/(24*INDEX('Геом. характеристики швеллера'!$K$6:$K$41,MATCH('без учета бимомента,два тяжа'!$J151,'Геом. характеристики швеллера'!$A$6:$A$41,0)))+SIN(M$117*PI()/180)/(45*INDEX('Геом.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швеллера'!$A$6:$A$41,0))))</f>
        <v>2264.4576960063414</v>
      </c>
      <c r="N151" s="53">
        <f>IF(((8*$E$17*$E$19/($E$12^2))/(COS(N$117*PI()/180)/(INDEX('Геом. характеристики швеллера'!$K$6:$K$41,MATCH('без учета бимомента,два тяжа'!$J151,'Геом. характеристики швеллера'!$A$6:$A$41,0)))+SIN(N$117*PI()/180)/(45*INDEX('Геом.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швеллера'!$A$6:$A$41,0)))&lt;((2*$E$17*$E$19/($E$12^2))/(5*COS(N$117*PI()/180)/(24*INDEX('Геом. характеристики швеллера'!$K$6:$K$41,MATCH('без учета бимомента,два тяжа'!$J151,'Геом. характеристики швеллера'!$A$6:$A$41,0)))+SIN(N$117*PI()/180)/(45*INDEX('Геом.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швеллера'!$A$6:$A$41,0))),((8*$E$17*$E$19/($E$12^2))/(COS(N$117*PI()/180)/(INDEX('Геом. характеристики швеллера'!$K$6:$K$41,MATCH('без учета бимомента,два тяжа'!$J151,'Геом. характеристики швеллера'!$A$6:$A$41,0)))+SIN(N$117*PI()/180)/(45*INDEX('Геом.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швеллера'!$A$6:$A$41,0))),((2*$E$17*$E$19/($E$12^2))/(5*COS(N$117*PI()/180)/(24*INDEX('Геом. характеристики швеллера'!$K$6:$K$41,MATCH('без учета бимомента,два тяжа'!$J151,'Геом. характеристики швеллера'!$A$6:$A$41,0)))+SIN(N$117*PI()/180)/(45*INDEX('Геом.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швеллера'!$A$6:$A$41,0))))</f>
        <v>2275.0433172612475</v>
      </c>
      <c r="O151" s="53">
        <f>IF(((8*$E$17*$E$19/($E$12^2))/(COS(O$117*PI()/180)/(INDEX('Геом. характеристики швеллера'!$K$6:$K$41,MATCH('без учета бимомента,два тяжа'!$J151,'Геом. характеристики швеллера'!$A$6:$A$41,0)))+SIN(O$117*PI()/180)/(45*INDEX('Геом.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швеллера'!$A$6:$A$41,0)))&lt;((2*$E$17*$E$19/($E$12^2))/(5*COS(O$117*PI()/180)/(24*INDEX('Геом. характеристики швеллера'!$K$6:$K$41,MATCH('без учета бимомента,два тяжа'!$J151,'Геом. характеристики швеллера'!$A$6:$A$41,0)))+SIN(O$117*PI()/180)/(45*INDEX('Геом.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швеллера'!$A$6:$A$41,0))),((8*$E$17*$E$19/($E$12^2))/(COS(O$117*PI()/180)/(INDEX('Геом. характеристики швеллера'!$K$6:$K$41,MATCH('без учета бимомента,два тяжа'!$J151,'Геом. характеристики швеллера'!$A$6:$A$41,0)))+SIN(O$117*PI()/180)/(45*INDEX('Геом.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швеллера'!$A$6:$A$41,0))),((2*$E$17*$E$19/($E$12^2))/(5*COS(O$117*PI()/180)/(24*INDEX('Геом. характеристики швеллера'!$K$6:$K$41,MATCH('без учета бимомента,два тяжа'!$J151,'Геом. характеристики швеллера'!$A$6:$A$41,0)))+SIN(O$117*PI()/180)/(45*INDEX('Геом.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швеллера'!$A$6:$A$41,0))))</f>
        <v>2269.1018825453234</v>
      </c>
      <c r="P151" s="53">
        <f>IF(((8*$E$17*$E$19/($E$12^2))/(COS(P$117*PI()/180)/(INDEX('Геом. характеристики швеллера'!$K$6:$K$41,MATCH('без учета бимомента,два тяжа'!$J151,'Геом. характеристики швеллера'!$A$6:$A$41,0)))+SIN(P$117*PI()/180)/(45*INDEX('Геом.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швеллера'!$A$6:$A$41,0)))&lt;((2*$E$17*$E$19/($E$12^2))/(5*COS(P$117*PI()/180)/(24*INDEX('Геом. характеристики швеллера'!$K$6:$K$41,MATCH('без учета бимомента,два тяжа'!$J151,'Геом. характеристики швеллера'!$A$6:$A$41,0)))+SIN(P$117*PI()/180)/(45*INDEX('Геом.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швеллера'!$A$6:$A$41,0))),((8*$E$17*$E$19/($E$12^2))/(COS(P$117*PI()/180)/(INDEX('Геом. характеристики швеллера'!$K$6:$K$41,MATCH('без учета бимомента,два тяжа'!$J151,'Геом. характеристики швеллера'!$A$6:$A$41,0)))+SIN(P$117*PI()/180)/(45*INDEX('Геом.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швеллера'!$A$6:$A$41,0))),((2*$E$17*$E$19/($E$12^2))/(5*COS(P$117*PI()/180)/(24*INDEX('Геом. характеристики швеллера'!$K$6:$K$41,MATCH('без учета бимомента,два тяжа'!$J151,'Геом. характеристики швеллера'!$A$6:$A$41,0)))+SIN(P$117*PI()/180)/(45*INDEX('Геом.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швеллера'!$A$6:$A$41,0))))</f>
        <v>2211.1710890022687</v>
      </c>
      <c r="Q151" s="53">
        <f>IF(((8*$E$17*$E$19/($E$12^2))/(COS(Q$117*PI()/180)/(INDEX('Геом. характеристики швеллера'!$K$6:$K$41,MATCH('без учета бимомента,два тяжа'!$J151,'Геом. характеристики швеллера'!$A$6:$A$41,0)))+SIN(Q$117*PI()/180)/(45*INDEX('Геом.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швеллера'!$A$6:$A$41,0)))&lt;((2*$E$17*$E$19/($E$12^2))/(5*COS(Q$117*PI()/180)/(24*INDEX('Геом. характеристики швеллера'!$K$6:$K$41,MATCH('без учета бимомента,два тяжа'!$J151,'Геом. характеристики швеллера'!$A$6:$A$41,0)))+SIN(Q$117*PI()/180)/(45*INDEX('Геом.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швеллера'!$A$6:$A$41,0))),((8*$E$17*$E$19/($E$12^2))/(COS(Q$117*PI()/180)/(INDEX('Геом. характеристики швеллера'!$K$6:$K$41,MATCH('без учета бимомента,два тяжа'!$J151,'Геом. характеристики швеллера'!$A$6:$A$41,0)))+SIN(Q$117*PI()/180)/(45*INDEX('Геом.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швеллера'!$A$6:$A$41,0))),((2*$E$17*$E$19/($E$12^2))/(5*COS(Q$117*PI()/180)/(24*INDEX('Геом. характеристики швеллера'!$K$6:$K$41,MATCH('без учета бимомента,два тяжа'!$J151,'Геом. характеристики швеллера'!$A$6:$A$41,0)))+SIN(Q$117*PI()/180)/(45*INDEX('Геом. характеристики швеллера'!$O$6:$O$41,MATCH('без учета бимомента,два тяжа'!$J151,'Геом. характеристики швеллера'!$A$6:$A$41,0))))/10-INDEX('Геом. характеристики швеллера'!$I$6:$I$41,MATCH('без учета бимомента,два тяжа'!$J151,'Геом. характеристики швеллера'!$A$6:$A$41,0))))</f>
        <v>2172.4797037719222</v>
      </c>
    </row>
    <row r="152" spans="1:17" ht="16.5" thickBot="1" x14ac:dyDescent="0.3">
      <c r="B152"/>
      <c r="C152" s="79" t="s">
        <v>283</v>
      </c>
      <c r="D152"/>
      <c r="J152" s="40" t="s">
        <v>226</v>
      </c>
      <c r="K152" s="53">
        <f>IF(((8*$E$17*$E$19/($E$12^2))/(COS(K$117*PI()/180)/(INDEX('Геом. характеристики швеллера'!$K$6:$K$41,MATCH('без учета бимомента,два тяжа'!$J152,'Геом. характеристики швеллера'!$A$6:$A$41,0)))+SIN(K$117*PI()/180)/(45*INDEX('Геом.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швеллера'!$A$6:$A$41,0)))&lt;((2*$E$17*$E$19/($E$12^2))/(5*COS(K$117*PI()/180)/(24*INDEX('Геом. характеристики швеллера'!$K$6:$K$41,MATCH('без учета бимомента,два тяжа'!$J152,'Геом. характеристики швеллера'!$A$6:$A$41,0)))+SIN(K$117*PI()/180)/(45*INDEX('Геом.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швеллера'!$A$6:$A$41,0))),((8*$E$17*$E$19/($E$12^2))/(COS(K$117*PI()/180)/(INDEX('Геом. характеристики швеллера'!$K$6:$K$41,MATCH('без учета бимомента,два тяжа'!$J152,'Геом. характеристики швеллера'!$A$6:$A$41,0)))+SIN(K$117*PI()/180)/(45*INDEX('Геом.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швеллера'!$A$6:$A$41,0))),((2*$E$17*$E$19/($E$12^2))/(5*COS(K$117*PI()/180)/(24*INDEX('Геом. характеристики швеллера'!$K$6:$K$41,MATCH('без учета бимомента,два тяжа'!$J152,'Геом. характеристики швеллера'!$A$6:$A$41,0)))+SIN(K$117*PI()/180)/(45*INDEX('Геом.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швеллера'!$A$6:$A$41,0))))</f>
        <v>2852.5</v>
      </c>
      <c r="L152" s="53">
        <f>IF(((8*$E$17*$E$19/($E$12^2))/(COS(L$117*PI()/180)/(INDEX('Геом. характеристики швеллера'!$K$6:$K$41,MATCH('без учета бимомента,два тяжа'!$J152,'Геом. характеристики швеллера'!$A$6:$A$41,0)))+SIN(L$117*PI()/180)/(45*INDEX('Геом.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швеллера'!$A$6:$A$41,0)))&lt;((2*$E$17*$E$19/($E$12^2))/(5*COS(L$117*PI()/180)/(24*INDEX('Геом. характеристики швеллера'!$K$6:$K$41,MATCH('без учета бимомента,два тяжа'!$J152,'Геом. характеристики швеллера'!$A$6:$A$41,0)))+SIN(L$117*PI()/180)/(45*INDEX('Геом.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швеллера'!$A$6:$A$41,0))),((8*$E$17*$E$19/($E$12^2))/(COS(L$117*PI()/180)/(INDEX('Геом. характеристики швеллера'!$K$6:$K$41,MATCH('без учета бимомента,два тяжа'!$J152,'Геом. характеристики швеллера'!$A$6:$A$41,0)))+SIN(L$117*PI()/180)/(45*INDEX('Геом.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швеллера'!$A$6:$A$41,0))),((2*$E$17*$E$19/($E$12^2))/(5*COS(L$117*PI()/180)/(24*INDEX('Геом. характеристики швеллера'!$K$6:$K$41,MATCH('без учета бимомента,два тяжа'!$J152,'Геом. характеристики швеллера'!$A$6:$A$41,0)))+SIN(L$117*PI()/180)/(45*INDEX('Геом.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швеллера'!$A$6:$A$41,0))))</f>
        <v>2819.5894058965082</v>
      </c>
      <c r="M152" s="53">
        <f>IF(((8*$E$17*$E$19/($E$12^2))/(COS(M$117*PI()/180)/(INDEX('Геом. характеристики швеллера'!$K$6:$K$41,MATCH('без учета бимомента,два тяжа'!$J152,'Геом. характеристики швеллера'!$A$6:$A$41,0)))+SIN(M$117*PI()/180)/(45*INDEX('Геом.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швеллера'!$A$6:$A$41,0)))&lt;((2*$E$17*$E$19/($E$12^2))/(5*COS(M$117*PI()/180)/(24*INDEX('Геом. характеристики швеллера'!$K$6:$K$41,MATCH('без учета бимомента,два тяжа'!$J152,'Геом. характеристики швеллера'!$A$6:$A$41,0)))+SIN(M$117*PI()/180)/(45*INDEX('Геом.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швеллера'!$A$6:$A$41,0))),((8*$E$17*$E$19/($E$12^2))/(COS(M$117*PI()/180)/(INDEX('Геом. характеристики швеллера'!$K$6:$K$41,MATCH('без учета бимомента,два тяжа'!$J152,'Геом. характеристики швеллера'!$A$6:$A$41,0)))+SIN(M$117*PI()/180)/(45*INDEX('Геом.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швеллера'!$A$6:$A$41,0))),((2*$E$17*$E$19/($E$12^2))/(5*COS(M$117*PI()/180)/(24*INDEX('Геом. характеристики швеллера'!$K$6:$K$41,MATCH('без учета бимомента,два тяжа'!$J152,'Геом. характеристики швеллера'!$A$6:$A$41,0)))+SIN(M$117*PI()/180)/(45*INDEX('Геом.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швеллера'!$A$6:$A$41,0))))</f>
        <v>2808.870981330529</v>
      </c>
      <c r="N152" s="53">
        <f>IF(((8*$E$17*$E$19/($E$12^2))/(COS(N$117*PI()/180)/(INDEX('Геом. характеристики швеллера'!$K$6:$K$41,MATCH('без учета бимомента,два тяжа'!$J152,'Геом. характеристики швеллера'!$A$6:$A$41,0)))+SIN(N$117*PI()/180)/(45*INDEX('Геом.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швеллера'!$A$6:$A$41,0)))&lt;((2*$E$17*$E$19/($E$12^2))/(5*COS(N$117*PI()/180)/(24*INDEX('Геом. характеристики швеллера'!$K$6:$K$41,MATCH('без учета бимомента,два тяжа'!$J152,'Геом. характеристики швеллера'!$A$6:$A$41,0)))+SIN(N$117*PI()/180)/(45*INDEX('Геом.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швеллера'!$A$6:$A$41,0))),((8*$E$17*$E$19/($E$12^2))/(COS(N$117*PI()/180)/(INDEX('Геом. характеристики швеллера'!$K$6:$K$41,MATCH('без учета бимомента,два тяжа'!$J152,'Геом. характеристики швеллера'!$A$6:$A$41,0)))+SIN(N$117*PI()/180)/(45*INDEX('Геом.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швеллера'!$A$6:$A$41,0))),((2*$E$17*$E$19/($E$12^2))/(5*COS(N$117*PI()/180)/(24*INDEX('Геом. характеристики швеллера'!$K$6:$K$41,MATCH('без учета бимомента,два тяжа'!$J152,'Геом. характеристики швеллера'!$A$6:$A$41,0)))+SIN(N$117*PI()/180)/(45*INDEX('Геом.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швеллера'!$A$6:$A$41,0))))</f>
        <v>2819.9315412610604</v>
      </c>
      <c r="O152" s="53">
        <f>IF(((8*$E$17*$E$19/($E$12^2))/(COS(O$117*PI()/180)/(INDEX('Геом. характеристики швеллера'!$K$6:$K$41,MATCH('без учета бимомента,два тяжа'!$J152,'Геом. характеристики швеллера'!$A$6:$A$41,0)))+SIN(O$117*PI()/180)/(45*INDEX('Геом.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швеллера'!$A$6:$A$41,0)))&lt;((2*$E$17*$E$19/($E$12^2))/(5*COS(O$117*PI()/180)/(24*INDEX('Геом. характеристики швеллера'!$K$6:$K$41,MATCH('без учета бимомента,два тяжа'!$J152,'Геом. характеристики швеллера'!$A$6:$A$41,0)))+SIN(O$117*PI()/180)/(45*INDEX('Геом.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швеллера'!$A$6:$A$41,0))),((8*$E$17*$E$19/($E$12^2))/(COS(O$117*PI()/180)/(INDEX('Геом. характеристики швеллера'!$K$6:$K$41,MATCH('без учета бимомента,два тяжа'!$J152,'Геом. характеристики швеллера'!$A$6:$A$41,0)))+SIN(O$117*PI()/180)/(45*INDEX('Геом.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швеллера'!$A$6:$A$41,0))),((2*$E$17*$E$19/($E$12^2))/(5*COS(O$117*PI()/180)/(24*INDEX('Геом. характеристики швеллера'!$K$6:$K$41,MATCH('без учета бимомента,два тяжа'!$J152,'Геом. характеристики швеллера'!$A$6:$A$41,0)))+SIN(O$117*PI()/180)/(45*INDEX('Геом.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швеллера'!$A$6:$A$41,0))))</f>
        <v>2786.4772665500318</v>
      </c>
      <c r="P152" s="53">
        <f>IF(((8*$E$17*$E$19/($E$12^2))/(COS(P$117*PI()/180)/(INDEX('Геом. характеристики швеллера'!$K$6:$K$41,MATCH('без учета бимомента,два тяжа'!$J152,'Геом. характеристики швеллера'!$A$6:$A$41,0)))+SIN(P$117*PI()/180)/(45*INDEX('Геом.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швеллера'!$A$6:$A$41,0)))&lt;((2*$E$17*$E$19/($E$12^2))/(5*COS(P$117*PI()/180)/(24*INDEX('Геом. характеристики швеллера'!$K$6:$K$41,MATCH('без учета бимомента,два тяжа'!$J152,'Геом. характеристики швеллера'!$A$6:$A$41,0)))+SIN(P$117*PI()/180)/(45*INDEX('Геом.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швеллера'!$A$6:$A$41,0))),((8*$E$17*$E$19/($E$12^2))/(COS(P$117*PI()/180)/(INDEX('Геом. характеристики швеллера'!$K$6:$K$41,MATCH('без учета бимомента,два тяжа'!$J152,'Геом. характеристики швеллера'!$A$6:$A$41,0)))+SIN(P$117*PI()/180)/(45*INDEX('Геом.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швеллера'!$A$6:$A$41,0))),((2*$E$17*$E$19/($E$12^2))/(5*COS(P$117*PI()/180)/(24*INDEX('Геом. характеристики швеллера'!$K$6:$K$41,MATCH('без учета бимомента,два тяжа'!$J152,'Геом. характеристики швеллера'!$A$6:$A$41,0)))+SIN(P$117*PI()/180)/(45*INDEX('Геом.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швеллера'!$A$6:$A$41,0))))</f>
        <v>2709.0603500445536</v>
      </c>
      <c r="Q152" s="53">
        <f>IF(((8*$E$17*$E$19/($E$12^2))/(COS(Q$117*PI()/180)/(INDEX('Геом. характеристики швеллера'!$K$6:$K$41,MATCH('без учета бимомента,два тяжа'!$J152,'Геом. характеристики швеллера'!$A$6:$A$41,0)))+SIN(Q$117*PI()/180)/(45*INDEX('Геом.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швеллера'!$A$6:$A$41,0)))&lt;((2*$E$17*$E$19/($E$12^2))/(5*COS(Q$117*PI()/180)/(24*INDEX('Геом. характеристики швеллера'!$K$6:$K$41,MATCH('без учета бимомента,два тяжа'!$J152,'Геом. характеристики швеллера'!$A$6:$A$41,0)))+SIN(Q$117*PI()/180)/(45*INDEX('Геом.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швеллера'!$A$6:$A$41,0))),((8*$E$17*$E$19/($E$12^2))/(COS(Q$117*PI()/180)/(INDEX('Геом. характеристики швеллера'!$K$6:$K$41,MATCH('без учета бимомента,два тяжа'!$J152,'Геом. характеристики швеллера'!$A$6:$A$41,0)))+SIN(Q$117*PI()/180)/(45*INDEX('Геом.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швеллера'!$A$6:$A$41,0))),((2*$E$17*$E$19/($E$12^2))/(5*COS(Q$117*PI()/180)/(24*INDEX('Геом. характеристики швеллера'!$K$6:$K$41,MATCH('без учета бимомента,два тяжа'!$J152,'Геом. характеристики швеллера'!$A$6:$A$41,0)))+SIN(Q$117*PI()/180)/(45*INDEX('Геом. характеристики швеллера'!$O$6:$O$41,MATCH('без учета бимомента,два тяжа'!$J152,'Геом. характеристики швеллера'!$A$6:$A$41,0))))/10-INDEX('Геом. характеристики швеллера'!$I$6:$I$41,MATCH('без учета бимомента,два тяжа'!$J152,'Геом. характеристики швеллера'!$A$6:$A$41,0))))</f>
        <v>2655.7523336387553</v>
      </c>
    </row>
    <row r="153" spans="1:17" ht="16.5" thickBot="1" x14ac:dyDescent="0.3">
      <c r="J153" s="41" t="s">
        <v>229</v>
      </c>
      <c r="K153" s="53">
        <f>IF(((8*$E$17*$E$19/($E$12^2))/(COS(K$117*PI()/180)/(INDEX('Геом. характеристики швеллера'!$K$6:$K$41,MATCH('без учета бимомента,два тяжа'!$J153,'Геом. характеристики швеллера'!$A$6:$A$41,0)))+SIN(K$117*PI()/180)/(45*INDEX('Геом.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швеллера'!$A$6:$A$41,0)))&lt;((2*$E$17*$E$19/($E$12^2))/(5*COS(K$117*PI()/180)/(24*INDEX('Геом. характеристики швеллера'!$K$6:$K$41,MATCH('без учета бимомента,два тяжа'!$J153,'Геом. характеристики швеллера'!$A$6:$A$41,0)))+SIN(K$117*PI()/180)/(45*INDEX('Геом.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швеллера'!$A$6:$A$41,0))),((8*$E$17*$E$19/($E$12^2))/(COS(K$117*PI()/180)/(INDEX('Геом. характеристики швеллера'!$K$6:$K$41,MATCH('без учета бимомента,два тяжа'!$J153,'Геом. характеристики швеллера'!$A$6:$A$41,0)))+SIN(K$117*PI()/180)/(45*INDEX('Геом.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швеллера'!$A$6:$A$41,0))),((2*$E$17*$E$19/($E$12^2))/(5*COS(K$117*PI()/180)/(24*INDEX('Геом. характеристики швеллера'!$K$6:$K$41,MATCH('без учета бимомента,два тяжа'!$J153,'Геом. характеристики швеллера'!$A$6:$A$41,0)))+SIN(K$117*PI()/180)/(45*INDEX('Геом.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швеллера'!$A$6:$A$41,0))))</f>
        <v>3614.1</v>
      </c>
      <c r="L153" s="53">
        <f>IF(((8*$E$17*$E$19/($E$12^2))/(COS(L$117*PI()/180)/(INDEX('Геом. характеристики швеллера'!$K$6:$K$41,MATCH('без учета бимомента,два тяжа'!$J153,'Геом. характеристики швеллера'!$A$6:$A$41,0)))+SIN(L$117*PI()/180)/(45*INDEX('Геом.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швеллера'!$A$6:$A$41,0)))&lt;((2*$E$17*$E$19/($E$12^2))/(5*COS(L$117*PI()/180)/(24*INDEX('Геом. характеристики швеллера'!$K$6:$K$41,MATCH('без учета бимомента,два тяжа'!$J153,'Геом. характеристики швеллера'!$A$6:$A$41,0)))+SIN(L$117*PI()/180)/(45*INDEX('Геом.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швеллера'!$A$6:$A$41,0))),((8*$E$17*$E$19/($E$12^2))/(COS(L$117*PI()/180)/(INDEX('Геом. характеристики швеллера'!$K$6:$K$41,MATCH('без учета бимомента,два тяжа'!$J153,'Геом. характеристики швеллера'!$A$6:$A$41,0)))+SIN(L$117*PI()/180)/(45*INDEX('Геом.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швеллера'!$A$6:$A$41,0))),((2*$E$17*$E$19/($E$12^2))/(5*COS(L$117*PI()/180)/(24*INDEX('Геом. характеристики швеллера'!$K$6:$K$41,MATCH('без учета бимомента,два тяжа'!$J153,'Геом. характеристики швеллера'!$A$6:$A$41,0)))+SIN(L$117*PI()/180)/(45*INDEX('Геом.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швеллера'!$A$6:$A$41,0))))</f>
        <v>3568.4112654706009</v>
      </c>
      <c r="M153" s="53">
        <f>IF(((8*$E$17*$E$19/($E$12^2))/(COS(M$117*PI()/180)/(INDEX('Геом. характеристики швеллера'!$K$6:$K$41,MATCH('без учета бимомента,два тяжа'!$J153,'Геом. характеристики швеллера'!$A$6:$A$41,0)))+SIN(M$117*PI()/180)/(45*INDEX('Геом.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швеллера'!$A$6:$A$41,0)))&lt;((2*$E$17*$E$19/($E$12^2))/(5*COS(M$117*PI()/180)/(24*INDEX('Геом. характеристики швеллера'!$K$6:$K$41,MATCH('без учета бимомента,два тяжа'!$J153,'Геом. характеристики швеллера'!$A$6:$A$41,0)))+SIN(M$117*PI()/180)/(45*INDEX('Геом.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швеллера'!$A$6:$A$41,0))),((8*$E$17*$E$19/($E$12^2))/(COS(M$117*PI()/180)/(INDEX('Геом. характеристики швеллера'!$K$6:$K$41,MATCH('без учета бимомента,два тяжа'!$J153,'Геом. характеристики швеллера'!$A$6:$A$41,0)))+SIN(M$117*PI()/180)/(45*INDEX('Геом.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швеллера'!$A$6:$A$41,0))),((2*$E$17*$E$19/($E$12^2))/(5*COS(M$117*PI()/180)/(24*INDEX('Геом. характеристики швеллера'!$K$6:$K$41,MATCH('без учета бимомента,два тяжа'!$J153,'Геом. характеристики швеллера'!$A$6:$A$41,0)))+SIN(M$117*PI()/180)/(45*INDEX('Геом.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швеллера'!$A$6:$A$41,0))))</f>
        <v>3550.9030265574929</v>
      </c>
      <c r="N153" s="53">
        <f>IF(((8*$E$17*$E$19/($E$12^2))/(COS(N$117*PI()/180)/(INDEX('Геом. характеристики швеллера'!$K$6:$K$41,MATCH('без учета бимомента,два тяжа'!$J153,'Геом. характеристики швеллера'!$A$6:$A$41,0)))+SIN(N$117*PI()/180)/(45*INDEX('Геом.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швеллера'!$A$6:$A$41,0)))&lt;((2*$E$17*$E$19/($E$12^2))/(5*COS(N$117*PI()/180)/(24*INDEX('Геом. характеристики швеллера'!$K$6:$K$41,MATCH('без учета бимомента,два тяжа'!$J153,'Геом. характеристики швеллера'!$A$6:$A$41,0)))+SIN(N$117*PI()/180)/(45*INDEX('Геом.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швеллера'!$A$6:$A$41,0))),((8*$E$17*$E$19/($E$12^2))/(COS(N$117*PI()/180)/(INDEX('Геом. характеристики швеллера'!$K$6:$K$41,MATCH('без учета бимомента,два тяжа'!$J153,'Геом. характеристики швеллера'!$A$6:$A$41,0)))+SIN(N$117*PI()/180)/(45*INDEX('Геом.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швеллера'!$A$6:$A$41,0))),((2*$E$17*$E$19/($E$12^2))/(5*COS(N$117*PI()/180)/(24*INDEX('Геом. характеристики швеллера'!$K$6:$K$41,MATCH('без учета бимомента,два тяжа'!$J153,'Геом. характеристики швеллера'!$A$6:$A$41,0)))+SIN(N$117*PI()/180)/(45*INDEX('Геом.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швеллера'!$A$6:$A$41,0))))</f>
        <v>3560.89933860257</v>
      </c>
      <c r="O153" s="53">
        <f>IF(((8*$E$17*$E$19/($E$12^2))/(COS(O$117*PI()/180)/(INDEX('Геом. характеристики швеллера'!$K$6:$K$41,MATCH('без учета бимомента,два тяжа'!$J153,'Геом. характеристики швеллера'!$A$6:$A$41,0)))+SIN(O$117*PI()/180)/(45*INDEX('Геом.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швеллера'!$A$6:$A$41,0)))&lt;((2*$E$17*$E$19/($E$12^2))/(5*COS(O$117*PI()/180)/(24*INDEX('Геом. характеристики швеллера'!$K$6:$K$41,MATCH('без учета бимомента,два тяжа'!$J153,'Геом. характеристики швеллера'!$A$6:$A$41,0)))+SIN(O$117*PI()/180)/(45*INDEX('Геом.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швеллера'!$A$6:$A$41,0))),((8*$E$17*$E$19/($E$12^2))/(COS(O$117*PI()/180)/(INDEX('Геом. характеристики швеллера'!$K$6:$K$41,MATCH('без учета бимомента,два тяжа'!$J153,'Геом. характеристики швеллера'!$A$6:$A$41,0)))+SIN(O$117*PI()/180)/(45*INDEX('Геом.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швеллера'!$A$6:$A$41,0))),((2*$E$17*$E$19/($E$12^2))/(5*COS(O$117*PI()/180)/(24*INDEX('Геом. характеристики швеллера'!$K$6:$K$41,MATCH('без учета бимомента,два тяжа'!$J153,'Геом. характеристики швеллера'!$A$6:$A$41,0)))+SIN(O$117*PI()/180)/(45*INDEX('Геом.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швеллера'!$A$6:$A$41,0))))</f>
        <v>3469.505853196325</v>
      </c>
      <c r="P153" s="53">
        <f>IF(((8*$E$17*$E$19/($E$12^2))/(COS(P$117*PI()/180)/(INDEX('Геом. характеристики швеллера'!$K$6:$K$41,MATCH('без учета бимомента,два тяжа'!$J153,'Геом. характеристики швеллера'!$A$6:$A$41,0)))+SIN(P$117*PI()/180)/(45*INDEX('Геом.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швеллера'!$A$6:$A$41,0)))&lt;((2*$E$17*$E$19/($E$12^2))/(5*COS(P$117*PI()/180)/(24*INDEX('Геом. характеристики швеллера'!$K$6:$K$41,MATCH('без учета бимомента,два тяжа'!$J153,'Геом. характеристики швеллера'!$A$6:$A$41,0)))+SIN(P$117*PI()/180)/(45*INDEX('Геом.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швеллера'!$A$6:$A$41,0))),((8*$E$17*$E$19/($E$12^2))/(COS(P$117*PI()/180)/(INDEX('Геом. характеристики швеллера'!$K$6:$K$41,MATCH('без учета бимомента,два тяжа'!$J153,'Геом. характеристики швеллера'!$A$6:$A$41,0)))+SIN(P$117*PI()/180)/(45*INDEX('Геом.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швеллера'!$A$6:$A$41,0))),((2*$E$17*$E$19/($E$12^2))/(5*COS(P$117*PI()/180)/(24*INDEX('Геом. характеристики швеллера'!$K$6:$K$41,MATCH('без учета бимомента,два тяжа'!$J153,'Геом. характеристики швеллера'!$A$6:$A$41,0)))+SIN(P$117*PI()/180)/(45*INDEX('Геом.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швеллера'!$A$6:$A$41,0))))</f>
        <v>3361.4780041574891</v>
      </c>
      <c r="Q153" s="53">
        <f>IF(((8*$E$17*$E$19/($E$12^2))/(COS(Q$117*PI()/180)/(INDEX('Геом. характеристики швеллера'!$K$6:$K$41,MATCH('без учета бимомента,два тяжа'!$J153,'Геом. характеристики швеллера'!$A$6:$A$41,0)))+SIN(Q$117*PI()/180)/(45*INDEX('Геом.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швеллера'!$A$6:$A$41,0)))&lt;((2*$E$17*$E$19/($E$12^2))/(5*COS(Q$117*PI()/180)/(24*INDEX('Геом. характеристики швеллера'!$K$6:$K$41,MATCH('без учета бимомента,два тяжа'!$J153,'Геом. характеристики швеллера'!$A$6:$A$41,0)))+SIN(Q$117*PI()/180)/(45*INDEX('Геом.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швеллера'!$A$6:$A$41,0))),((8*$E$17*$E$19/($E$12^2))/(COS(Q$117*PI()/180)/(INDEX('Геом. характеристики швеллера'!$K$6:$K$41,MATCH('без учета бимомента,два тяжа'!$J153,'Геом. характеристики швеллера'!$A$6:$A$41,0)))+SIN(Q$117*PI()/180)/(45*INDEX('Геом.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швеллера'!$A$6:$A$41,0))),((2*$E$17*$E$19/($E$12^2))/(5*COS(Q$117*PI()/180)/(24*INDEX('Геом. характеристики швеллера'!$K$6:$K$41,MATCH('без учета бимомента,два тяжа'!$J153,'Геом. характеристики швеллера'!$A$6:$A$41,0)))+SIN(Q$117*PI()/180)/(45*INDEX('Геом. характеристики швеллера'!$O$6:$O$41,MATCH('без учета бимомента,два тяжа'!$J153,'Геом. характеристики швеллера'!$A$6:$A$41,0))))/10-INDEX('Геом. характеристики швеллера'!$I$6:$I$41,MATCH('без учета бимомента,два тяжа'!$J153,'Геом. характеристики швеллера'!$A$6:$A$41,0))))</f>
        <v>3284.4961846776887</v>
      </c>
    </row>
    <row r="154" spans="1:17" ht="3" customHeight="1" x14ac:dyDescent="0.25"/>
    <row r="155" spans="1:17" ht="18.75" x14ac:dyDescent="0.35">
      <c r="A155" s="2" t="s">
        <v>284</v>
      </c>
    </row>
    <row r="157" spans="1:17" x14ac:dyDescent="0.25">
      <c r="A157"/>
      <c r="C157" s="2">
        <f>C88/(E18*E19*E24*(E22-2*E25))*1000</f>
        <v>0.1537306222328064</v>
      </c>
      <c r="E157" s="115" t="str">
        <f>IF(C157&lt;1,"Условия прочности обеспечены","Условия прочности не обеспечены")</f>
        <v>Условия прочности обеспечены</v>
      </c>
      <c r="F157" s="115"/>
      <c r="G157" s="115"/>
    </row>
    <row r="159" spans="1:17" x14ac:dyDescent="0.25">
      <c r="C159" s="2">
        <f>C92/(E18*E19*2*E23*E25)*1000</f>
        <v>2.9335450567569321E-3</v>
      </c>
      <c r="E159" s="115" t="str">
        <f>IF(C159&lt;1,"Условия прочности обеспечены","Условия прочности не обеспечены")</f>
        <v>Условия прочности обеспечены</v>
      </c>
      <c r="F159" s="115"/>
      <c r="G159" s="115"/>
    </row>
    <row r="160" spans="1:17" x14ac:dyDescent="0.25">
      <c r="A160"/>
    </row>
    <row r="161" spans="1:7" x14ac:dyDescent="0.25">
      <c r="A161" s="2" t="s">
        <v>286</v>
      </c>
    </row>
    <row r="163" spans="1:7" x14ac:dyDescent="0.25">
      <c r="A163" s="93" t="s">
        <v>287</v>
      </c>
      <c r="B163" s="93"/>
      <c r="C163" s="93"/>
      <c r="D163" s="93"/>
      <c r="E163" s="93"/>
      <c r="F163" s="93"/>
      <c r="G163" s="93"/>
    </row>
    <row r="165" spans="1:7" x14ac:dyDescent="0.25">
      <c r="A165" s="2" t="s">
        <v>288</v>
      </c>
    </row>
    <row r="167" spans="1:7" x14ac:dyDescent="0.25">
      <c r="A167" s="2" t="s">
        <v>289</v>
      </c>
    </row>
    <row r="169" spans="1:7" x14ac:dyDescent="0.25">
      <c r="A169" s="113" t="s">
        <v>293</v>
      </c>
      <c r="B169" s="113"/>
      <c r="C169" s="113"/>
      <c r="D169" s="113"/>
      <c r="E169" s="113"/>
      <c r="F169" s="113"/>
      <c r="G169" s="113"/>
    </row>
    <row r="171" spans="1:7" ht="16.5" thickBot="1" x14ac:dyDescent="0.3">
      <c r="A171" s="112" t="s">
        <v>292</v>
      </c>
      <c r="B171" s="82" t="s">
        <v>291</v>
      </c>
      <c r="C171" s="112" t="s">
        <v>276</v>
      </c>
      <c r="D171" s="112">
        <f>E12/B172</f>
        <v>0.03</v>
      </c>
      <c r="E171" s="114" t="s">
        <v>290</v>
      </c>
    </row>
    <row r="172" spans="1:7" x14ac:dyDescent="0.25">
      <c r="A172" s="112"/>
      <c r="B172" s="83">
        <f>IF(E12&lt;=1,120,IF(E12&lt;=3,150,IF(E12&lt;=6,200,IF(E12&lt;=24,250,300))))</f>
        <v>200</v>
      </c>
      <c r="C172" s="112"/>
      <c r="D172" s="112"/>
      <c r="E172" s="114"/>
    </row>
    <row r="174" spans="1:7" x14ac:dyDescent="0.25">
      <c r="A174" s="2" t="s">
        <v>294</v>
      </c>
    </row>
    <row r="176" spans="1:7" x14ac:dyDescent="0.25">
      <c r="A176"/>
      <c r="B176"/>
      <c r="D176" s="2">
        <f>(5*(E14*E13/1.4+E15*E13+E21)*(E12^4))/(384*200*E27)</f>
        <v>3.0820650393184799E-2</v>
      </c>
      <c r="E176" s="2" t="s">
        <v>290</v>
      </c>
    </row>
    <row r="178" spans="1:7" x14ac:dyDescent="0.25">
      <c r="A178" s="93" t="s">
        <v>296</v>
      </c>
      <c r="B178" s="93"/>
      <c r="C178" s="93"/>
      <c r="D178" s="93"/>
      <c r="E178" s="93"/>
      <c r="F178" s="93"/>
      <c r="G178" s="93"/>
    </row>
    <row r="180" spans="1:7" x14ac:dyDescent="0.25">
      <c r="A180" s="157" t="str">
        <f>IF(D171&gt;D176,"Условия прочности обеспечены","Условия прочности не обеспечены")</f>
        <v>Условия прочности не обеспечены</v>
      </c>
      <c r="B180" s="157"/>
      <c r="C180" s="157"/>
      <c r="D180" s="157"/>
    </row>
  </sheetData>
  <mergeCells count="60">
    <mergeCell ref="A19:D19"/>
    <mergeCell ref="A18:D18"/>
    <mergeCell ref="B5:F5"/>
    <mergeCell ref="A1:G1"/>
    <mergeCell ref="I1:P1"/>
    <mergeCell ref="I2:I3"/>
    <mergeCell ref="J2:P2"/>
    <mergeCell ref="B4:F4"/>
    <mergeCell ref="A13:D13"/>
    <mergeCell ref="A14:D14"/>
    <mergeCell ref="A15:D15"/>
    <mergeCell ref="A16:D16"/>
    <mergeCell ref="A17:D17"/>
    <mergeCell ref="B6:F6"/>
    <mergeCell ref="B7:F7"/>
    <mergeCell ref="B8:C8"/>
    <mergeCell ref="A11:D11"/>
    <mergeCell ref="A12:D12"/>
    <mergeCell ref="A39:D39"/>
    <mergeCell ref="A47:G47"/>
    <mergeCell ref="A66:G66"/>
    <mergeCell ref="A84:G84"/>
    <mergeCell ref="A20:D20"/>
    <mergeCell ref="E98:F98"/>
    <mergeCell ref="E100:F100"/>
    <mergeCell ref="E106:F106"/>
    <mergeCell ref="E108:F108"/>
    <mergeCell ref="A21:D21"/>
    <mergeCell ref="A28:D28"/>
    <mergeCell ref="A29:D29"/>
    <mergeCell ref="A35:D35"/>
    <mergeCell ref="A36:D36"/>
    <mergeCell ref="A22:D22"/>
    <mergeCell ref="A23:D23"/>
    <mergeCell ref="A24:D24"/>
    <mergeCell ref="A25:D25"/>
    <mergeCell ref="A26:D26"/>
    <mergeCell ref="A27:D27"/>
    <mergeCell ref="A38:D38"/>
    <mergeCell ref="J116:J117"/>
    <mergeCell ref="K116:Q116"/>
    <mergeCell ref="E123:G123"/>
    <mergeCell ref="J113:Q115"/>
    <mergeCell ref="E119:G119"/>
    <mergeCell ref="J84:Q85"/>
    <mergeCell ref="A37:D37"/>
    <mergeCell ref="A178:G178"/>
    <mergeCell ref="E132:G132"/>
    <mergeCell ref="E146:G146"/>
    <mergeCell ref="E159:G159"/>
    <mergeCell ref="A163:G163"/>
    <mergeCell ref="A169:G169"/>
    <mergeCell ref="A171:A172"/>
    <mergeCell ref="C171:C172"/>
    <mergeCell ref="D171:D172"/>
    <mergeCell ref="E171:E172"/>
    <mergeCell ref="E157:G157"/>
    <mergeCell ref="J86:J87"/>
    <mergeCell ref="K86:Q86"/>
    <mergeCell ref="A114:G114"/>
  </mergeCells>
  <pageMargins left="0.7" right="0.7" top="0.75" bottom="0.75" header="0.3" footer="0.3"/>
  <pageSetup paperSize="9" orientation="portrait" r:id="rId1"/>
  <headerFooter>
    <oddFooter>&amp;Cbuildingbook.ru&amp;R&amp;P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1</xdr:col>
                <xdr:colOff>0</xdr:colOff>
                <xdr:row>87</xdr:row>
                <xdr:rowOff>0</xdr:rowOff>
              </from>
              <to>
                <xdr:col>1</xdr:col>
                <xdr:colOff>333375</xdr:colOff>
                <xdr:row>88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 sizeWithCells="1">
              <from>
                <xdr:col>0</xdr:col>
                <xdr:colOff>533400</xdr:colOff>
                <xdr:row>84</xdr:row>
                <xdr:rowOff>95250</xdr:rowOff>
              </from>
              <to>
                <xdr:col>3</xdr:col>
                <xdr:colOff>476250</xdr:colOff>
                <xdr:row>86</xdr:row>
                <xdr:rowOff>95250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autoPict="0" r:id="rId9">
            <anchor moveWithCells="1" sizeWithCells="1">
              <from>
                <xdr:col>1</xdr:col>
                <xdr:colOff>0</xdr:colOff>
                <xdr:row>90</xdr:row>
                <xdr:rowOff>180975</xdr:rowOff>
              </from>
              <to>
                <xdr:col>1</xdr:col>
                <xdr:colOff>333375</xdr:colOff>
                <xdr:row>92</xdr:row>
                <xdr:rowOff>19050</xdr:rowOff>
              </to>
            </anchor>
          </objectPr>
        </oleObject>
      </mc:Choice>
      <mc:Fallback>
        <oleObject progId="Equation.3" shapeId="10243" r:id="rId8"/>
      </mc:Fallback>
    </mc:AlternateContent>
    <mc:AlternateContent xmlns:mc="http://schemas.openxmlformats.org/markup-compatibility/2006">
      <mc:Choice Requires="x14">
        <oleObject progId="Equation.3" shapeId="10244" r:id="rId10">
          <objectPr defaultSize="0" autoPict="0" r:id="rId11">
            <anchor moveWithCells="1" sizeWithCells="1">
              <from>
                <xdr:col>0</xdr:col>
                <xdr:colOff>523875</xdr:colOff>
                <xdr:row>96</xdr:row>
                <xdr:rowOff>66675</xdr:rowOff>
              </from>
              <to>
                <xdr:col>4</xdr:col>
                <xdr:colOff>133350</xdr:colOff>
                <xdr:row>98</xdr:row>
                <xdr:rowOff>85725</xdr:rowOff>
              </to>
            </anchor>
          </objectPr>
        </oleObject>
      </mc:Choice>
      <mc:Fallback>
        <oleObject progId="Equation.3" shapeId="10244" r:id="rId10"/>
      </mc:Fallback>
    </mc:AlternateContent>
    <mc:AlternateContent xmlns:mc="http://schemas.openxmlformats.org/markup-compatibility/2006">
      <mc:Choice Requires="x14">
        <oleObject progId="Equation.3" shapeId="10245" r:id="rId12">
          <objectPr defaultSize="0" autoPict="0" r:id="rId13">
            <anchor moveWithCells="1" sizeWithCells="1">
              <from>
                <xdr:col>1</xdr:col>
                <xdr:colOff>0</xdr:colOff>
                <xdr:row>99</xdr:row>
                <xdr:rowOff>0</xdr:rowOff>
              </from>
              <to>
                <xdr:col>1</xdr:col>
                <xdr:colOff>381000</xdr:colOff>
                <xdr:row>100</xdr:row>
                <xdr:rowOff>28575</xdr:rowOff>
              </to>
            </anchor>
          </objectPr>
        </oleObject>
      </mc:Choice>
      <mc:Fallback>
        <oleObject progId="Equation.3" shapeId="10245" r:id="rId12"/>
      </mc:Fallback>
    </mc:AlternateContent>
    <mc:AlternateContent xmlns:mc="http://schemas.openxmlformats.org/markup-compatibility/2006">
      <mc:Choice Requires="x14">
        <oleObject progId="Equation.3" shapeId="10247" r:id="rId14">
          <objectPr defaultSize="0" autoPict="0" r:id="rId15">
            <anchor moveWithCells="1" sizeWithCells="1">
              <from>
                <xdr:col>1</xdr:col>
                <xdr:colOff>0</xdr:colOff>
                <xdr:row>115</xdr:row>
                <xdr:rowOff>0</xdr:rowOff>
              </from>
              <to>
                <xdr:col>3</xdr:col>
                <xdr:colOff>304800</xdr:colOff>
                <xdr:row>117</xdr:row>
                <xdr:rowOff>57150</xdr:rowOff>
              </to>
            </anchor>
          </objectPr>
        </oleObject>
      </mc:Choice>
      <mc:Fallback>
        <oleObject progId="Equation.3" shapeId="10247" r:id="rId14"/>
      </mc:Fallback>
    </mc:AlternateContent>
    <mc:AlternateContent xmlns:mc="http://schemas.openxmlformats.org/markup-compatibility/2006">
      <mc:Choice Requires="x14">
        <oleObject progId="Equation.3" shapeId="10248" r:id="rId16">
          <objectPr defaultSize="0" autoPict="0" r:id="rId17">
            <anchor moveWithCells="1" sizeWithCells="1">
              <from>
                <xdr:col>0</xdr:col>
                <xdr:colOff>352425</xdr:colOff>
                <xdr:row>117</xdr:row>
                <xdr:rowOff>95250</xdr:rowOff>
              </from>
              <to>
                <xdr:col>3</xdr:col>
                <xdr:colOff>28575</xdr:colOff>
                <xdr:row>119</xdr:row>
                <xdr:rowOff>152400</xdr:rowOff>
              </to>
            </anchor>
          </objectPr>
        </oleObject>
      </mc:Choice>
      <mc:Fallback>
        <oleObject progId="Equation.3" shapeId="10248" r:id="rId16"/>
      </mc:Fallback>
    </mc:AlternateContent>
    <mc:AlternateContent xmlns:mc="http://schemas.openxmlformats.org/markup-compatibility/2006">
      <mc:Choice Requires="x14">
        <oleObject progId="Equation.3" shapeId="10252" r:id="rId18">
          <objectPr defaultSize="0" autoPict="0" r:id="rId9">
            <anchor moveWithCells="1" sizeWithCells="1">
              <from>
                <xdr:col>1</xdr:col>
                <xdr:colOff>9525</xdr:colOff>
                <xdr:row>94</xdr:row>
                <xdr:rowOff>180975</xdr:rowOff>
              </from>
              <to>
                <xdr:col>1</xdr:col>
                <xdr:colOff>342900</xdr:colOff>
                <xdr:row>96</xdr:row>
                <xdr:rowOff>19050</xdr:rowOff>
              </to>
            </anchor>
          </objectPr>
        </oleObject>
      </mc:Choice>
      <mc:Fallback>
        <oleObject progId="Equation.3" shapeId="10252" r:id="rId18"/>
      </mc:Fallback>
    </mc:AlternateContent>
    <mc:AlternateContent xmlns:mc="http://schemas.openxmlformats.org/markup-compatibility/2006">
      <mc:Choice Requires="x14">
        <oleObject progId="Equation.3" shapeId="10253" r:id="rId19">
          <objectPr defaultSize="0" autoPict="0" r:id="rId20">
            <anchor moveWithCells="1" sizeWithCells="1">
              <from>
                <xdr:col>1</xdr:col>
                <xdr:colOff>9525</xdr:colOff>
                <xdr:row>88</xdr:row>
                <xdr:rowOff>361950</xdr:rowOff>
              </from>
              <to>
                <xdr:col>2</xdr:col>
                <xdr:colOff>504825</xdr:colOff>
                <xdr:row>90</xdr:row>
                <xdr:rowOff>114300</xdr:rowOff>
              </to>
            </anchor>
          </objectPr>
        </oleObject>
      </mc:Choice>
      <mc:Fallback>
        <oleObject progId="Equation.3" shapeId="10253" r:id="rId19"/>
      </mc:Fallback>
    </mc:AlternateContent>
    <mc:AlternateContent xmlns:mc="http://schemas.openxmlformats.org/markup-compatibility/2006">
      <mc:Choice Requires="x14">
        <oleObject progId="Equation.3" shapeId="10254" r:id="rId21">
          <objectPr defaultSize="0" autoPict="0" r:id="rId22">
            <anchor moveWithCells="1" sizeWithCells="1">
              <from>
                <xdr:col>0</xdr:col>
                <xdr:colOff>533400</xdr:colOff>
                <xdr:row>92</xdr:row>
                <xdr:rowOff>123825</xdr:rowOff>
              </from>
              <to>
                <xdr:col>2</xdr:col>
                <xdr:colOff>542925</xdr:colOff>
                <xdr:row>94</xdr:row>
                <xdr:rowOff>114300</xdr:rowOff>
              </to>
            </anchor>
          </objectPr>
        </oleObject>
      </mc:Choice>
      <mc:Fallback>
        <oleObject progId="Equation.3" shapeId="10254" r:id="rId21"/>
      </mc:Fallback>
    </mc:AlternateContent>
    <mc:AlternateContent xmlns:mc="http://schemas.openxmlformats.org/markup-compatibility/2006">
      <mc:Choice Requires="x14">
        <oleObject progId="Equation.3" shapeId="10255" r:id="rId23">
          <objectPr defaultSize="0" autoPict="0" r:id="rId24">
            <anchor moveWithCells="1" sizeWithCells="1">
              <from>
                <xdr:col>0</xdr:col>
                <xdr:colOff>523875</xdr:colOff>
                <xdr:row>100</xdr:row>
                <xdr:rowOff>95250</xdr:rowOff>
              </from>
              <to>
                <xdr:col>2</xdr:col>
                <xdr:colOff>590550</xdr:colOff>
                <xdr:row>102</xdr:row>
                <xdr:rowOff>114300</xdr:rowOff>
              </to>
            </anchor>
          </objectPr>
        </oleObject>
      </mc:Choice>
      <mc:Fallback>
        <oleObject progId="Equation.3" shapeId="10255" r:id="rId23"/>
      </mc:Fallback>
    </mc:AlternateContent>
    <mc:AlternateContent xmlns:mc="http://schemas.openxmlformats.org/markup-compatibility/2006">
      <mc:Choice Requires="x14">
        <oleObject progId="Equation.3" shapeId="10256" r:id="rId25">
          <objectPr defaultSize="0" autoPict="0" r:id="rId13">
            <anchor moveWithCells="1" sizeWithCells="1">
              <from>
                <xdr:col>1</xdr:col>
                <xdr:colOff>0</xdr:colOff>
                <xdr:row>103</xdr:row>
                <xdr:rowOff>0</xdr:rowOff>
              </from>
              <to>
                <xdr:col>1</xdr:col>
                <xdr:colOff>381000</xdr:colOff>
                <xdr:row>104</xdr:row>
                <xdr:rowOff>28575</xdr:rowOff>
              </to>
            </anchor>
          </objectPr>
        </oleObject>
      </mc:Choice>
      <mc:Fallback>
        <oleObject progId="Equation.3" shapeId="10256" r:id="rId25"/>
      </mc:Fallback>
    </mc:AlternateContent>
    <mc:AlternateContent xmlns:mc="http://schemas.openxmlformats.org/markup-compatibility/2006">
      <mc:Choice Requires="x14">
        <oleObject progId="Equation.3" shapeId="10257" r:id="rId26">
          <objectPr defaultSize="0" autoPict="0" r:id="rId27">
            <anchor moveWithCells="1" sizeWithCells="1">
              <from>
                <xdr:col>1</xdr:col>
                <xdr:colOff>28575</xdr:colOff>
                <xdr:row>104</xdr:row>
                <xdr:rowOff>85725</xdr:rowOff>
              </from>
              <to>
                <xdr:col>2</xdr:col>
                <xdr:colOff>561975</xdr:colOff>
                <xdr:row>106</xdr:row>
                <xdr:rowOff>104775</xdr:rowOff>
              </to>
            </anchor>
          </objectPr>
        </oleObject>
      </mc:Choice>
      <mc:Fallback>
        <oleObject progId="Equation.3" shapeId="10257" r:id="rId26"/>
      </mc:Fallback>
    </mc:AlternateContent>
    <mc:AlternateContent xmlns:mc="http://schemas.openxmlformats.org/markup-compatibility/2006">
      <mc:Choice Requires="x14">
        <oleObject progId="Equation.3" shapeId="10258" r:id="rId28">
          <objectPr defaultSize="0" autoPict="0" r:id="rId29">
            <anchor moveWithCells="1" sizeWithCells="1">
              <from>
                <xdr:col>1</xdr:col>
                <xdr:colOff>28575</xdr:colOff>
                <xdr:row>108</xdr:row>
                <xdr:rowOff>85725</xdr:rowOff>
              </from>
              <to>
                <xdr:col>2</xdr:col>
                <xdr:colOff>561975</xdr:colOff>
                <xdr:row>110</xdr:row>
                <xdr:rowOff>104775</xdr:rowOff>
              </to>
            </anchor>
          </objectPr>
        </oleObject>
      </mc:Choice>
      <mc:Fallback>
        <oleObject progId="Equation.3" shapeId="10258" r:id="rId28"/>
      </mc:Fallback>
    </mc:AlternateContent>
    <mc:AlternateContent xmlns:mc="http://schemas.openxmlformats.org/markup-compatibility/2006">
      <mc:Choice Requires="x14">
        <oleObject progId="Equation.3" shapeId="10259" r:id="rId30">
          <objectPr defaultSize="0" autoPict="0" r:id="rId31">
            <anchor moveWithCells="1" sizeWithCells="1">
              <from>
                <xdr:col>1</xdr:col>
                <xdr:colOff>19050</xdr:colOff>
                <xdr:row>110</xdr:row>
                <xdr:rowOff>180975</xdr:rowOff>
              </from>
              <to>
                <xdr:col>1</xdr:col>
                <xdr:colOff>400050</xdr:colOff>
                <xdr:row>112</xdr:row>
                <xdr:rowOff>19050</xdr:rowOff>
              </to>
            </anchor>
          </objectPr>
        </oleObject>
      </mc:Choice>
      <mc:Fallback>
        <oleObject progId="Equation.3" shapeId="10259" r:id="rId30"/>
      </mc:Fallback>
    </mc:AlternateContent>
    <mc:AlternateContent xmlns:mc="http://schemas.openxmlformats.org/markup-compatibility/2006">
      <mc:Choice Requires="x14">
        <oleObject progId="Equation.3" shapeId="10260" r:id="rId32">
          <objectPr defaultSize="0" autoPict="0" r:id="rId31">
            <anchor moveWithCells="1" sizeWithCells="1">
              <from>
                <xdr:col>1</xdr:col>
                <xdr:colOff>28575</xdr:colOff>
                <xdr:row>107</xdr:row>
                <xdr:rowOff>0</xdr:rowOff>
              </from>
              <to>
                <xdr:col>1</xdr:col>
                <xdr:colOff>409575</xdr:colOff>
                <xdr:row>107</xdr:row>
                <xdr:rowOff>238125</xdr:rowOff>
              </to>
            </anchor>
          </objectPr>
        </oleObject>
      </mc:Choice>
      <mc:Fallback>
        <oleObject progId="Equation.3" shapeId="10260" r:id="rId32"/>
      </mc:Fallback>
    </mc:AlternateContent>
    <mc:AlternateContent xmlns:mc="http://schemas.openxmlformats.org/markup-compatibility/2006">
      <mc:Choice Requires="x14">
        <oleObject progId="Equation.3" shapeId="10261" r:id="rId33">
          <objectPr defaultSize="0" autoPict="0" r:id="rId17">
            <anchor moveWithCells="1" sizeWithCells="1">
              <from>
                <xdr:col>0</xdr:col>
                <xdr:colOff>323850</xdr:colOff>
                <xdr:row>121</xdr:row>
                <xdr:rowOff>66675</xdr:rowOff>
              </from>
              <to>
                <xdr:col>3</xdr:col>
                <xdr:colOff>0</xdr:colOff>
                <xdr:row>123</xdr:row>
                <xdr:rowOff>123825</xdr:rowOff>
              </to>
            </anchor>
          </objectPr>
        </oleObject>
      </mc:Choice>
      <mc:Fallback>
        <oleObject progId="Equation.3" shapeId="10261" r:id="rId33"/>
      </mc:Fallback>
    </mc:AlternateContent>
    <mc:AlternateContent xmlns:mc="http://schemas.openxmlformats.org/markup-compatibility/2006">
      <mc:Choice Requires="x14">
        <oleObject progId="Equation.3" shapeId="10272" r:id="rId34">
          <objectPr defaultSize="0" autoPict="0" r:id="rId35">
            <anchor moveWithCells="1" sizeWithCells="1">
              <from>
                <xdr:col>0</xdr:col>
                <xdr:colOff>457200</xdr:colOff>
                <xdr:row>128</xdr:row>
                <xdr:rowOff>47625</xdr:rowOff>
              </from>
              <to>
                <xdr:col>2</xdr:col>
                <xdr:colOff>209550</xdr:colOff>
                <xdr:row>130</xdr:row>
                <xdr:rowOff>76200</xdr:rowOff>
              </to>
            </anchor>
          </objectPr>
        </oleObject>
      </mc:Choice>
      <mc:Fallback>
        <oleObject progId="Equation.3" shapeId="10272" r:id="rId34"/>
      </mc:Fallback>
    </mc:AlternateContent>
    <mc:AlternateContent xmlns:mc="http://schemas.openxmlformats.org/markup-compatibility/2006">
      <mc:Choice Requires="x14">
        <oleObject progId="Equation.3" shapeId="10273" r:id="rId36">
          <objectPr defaultSize="0" autoPict="0" r:id="rId37">
            <anchor moveWithCells="1" sizeWithCells="1">
              <from>
                <xdr:col>0</xdr:col>
                <xdr:colOff>295275</xdr:colOff>
                <xdr:row>130</xdr:row>
                <xdr:rowOff>104775</xdr:rowOff>
              </from>
              <to>
                <xdr:col>1</xdr:col>
                <xdr:colOff>400050</xdr:colOff>
                <xdr:row>132</xdr:row>
                <xdr:rowOff>133350</xdr:rowOff>
              </to>
            </anchor>
          </objectPr>
        </oleObject>
      </mc:Choice>
      <mc:Fallback>
        <oleObject progId="Equation.3" shapeId="10273" r:id="rId36"/>
      </mc:Fallback>
    </mc:AlternateContent>
    <mc:AlternateContent xmlns:mc="http://schemas.openxmlformats.org/markup-compatibility/2006">
      <mc:Choice Requires="x14">
        <oleObject progId="Equation.3" shapeId="10274" r:id="rId38">
          <objectPr defaultSize="0" autoPict="0" r:id="rId39">
            <anchor moveWithCells="1" sizeWithCells="1">
              <from>
                <xdr:col>0</xdr:col>
                <xdr:colOff>476250</xdr:colOff>
                <xdr:row>136</xdr:row>
                <xdr:rowOff>114300</xdr:rowOff>
              </from>
              <to>
                <xdr:col>2</xdr:col>
                <xdr:colOff>57150</xdr:colOff>
                <xdr:row>138</xdr:row>
                <xdr:rowOff>152400</xdr:rowOff>
              </to>
            </anchor>
          </objectPr>
        </oleObject>
      </mc:Choice>
      <mc:Fallback>
        <oleObject progId="Equation.3" shapeId="10274" r:id="rId38"/>
      </mc:Fallback>
    </mc:AlternateContent>
    <mc:AlternateContent xmlns:mc="http://schemas.openxmlformats.org/markup-compatibility/2006">
      <mc:Choice Requires="x14">
        <oleObject progId="Equation.3" shapeId="10275" r:id="rId40">
          <objectPr defaultSize="0" autoPict="0" r:id="rId41">
            <anchor moveWithCells="1" sizeWithCells="1">
              <from>
                <xdr:col>0</xdr:col>
                <xdr:colOff>409575</xdr:colOff>
                <xdr:row>140</xdr:row>
                <xdr:rowOff>95250</xdr:rowOff>
              </from>
              <to>
                <xdr:col>2</xdr:col>
                <xdr:colOff>152400</xdr:colOff>
                <xdr:row>142</xdr:row>
                <xdr:rowOff>133350</xdr:rowOff>
              </to>
            </anchor>
          </objectPr>
        </oleObject>
      </mc:Choice>
      <mc:Fallback>
        <oleObject progId="Equation.3" shapeId="10275" r:id="rId40"/>
      </mc:Fallback>
    </mc:AlternateContent>
    <mc:AlternateContent xmlns:mc="http://schemas.openxmlformats.org/markup-compatibility/2006">
      <mc:Choice Requires="x14">
        <oleObject progId="Equation.3" shapeId="10276" r:id="rId42">
          <objectPr defaultSize="0" autoPict="0" r:id="rId43">
            <anchor moveWithCells="1" sizeWithCells="1">
              <from>
                <xdr:col>0</xdr:col>
                <xdr:colOff>409575</xdr:colOff>
                <xdr:row>144</xdr:row>
                <xdr:rowOff>76200</xdr:rowOff>
              </from>
              <to>
                <xdr:col>1</xdr:col>
                <xdr:colOff>333375</xdr:colOff>
                <xdr:row>146</xdr:row>
                <xdr:rowOff>114300</xdr:rowOff>
              </to>
            </anchor>
          </objectPr>
        </oleObject>
      </mc:Choice>
      <mc:Fallback>
        <oleObject progId="Equation.3" shapeId="10276" r:id="rId42"/>
      </mc:Fallback>
    </mc:AlternateContent>
    <mc:AlternateContent xmlns:mc="http://schemas.openxmlformats.org/markup-compatibility/2006">
      <mc:Choice Requires="x14">
        <oleObject progId="Equation.3" shapeId="10277" r:id="rId44">
          <objectPr defaultSize="0" autoPict="0" r:id="rId45">
            <anchor moveWithCells="1" sizeWithCells="1">
              <from>
                <xdr:col>0</xdr:col>
                <xdr:colOff>190500</xdr:colOff>
                <xdr:row>150</xdr:row>
                <xdr:rowOff>114300</xdr:rowOff>
              </from>
              <to>
                <xdr:col>1</xdr:col>
                <xdr:colOff>371475</xdr:colOff>
                <xdr:row>152</xdr:row>
                <xdr:rowOff>142875</xdr:rowOff>
              </to>
            </anchor>
          </objectPr>
        </oleObject>
      </mc:Choice>
      <mc:Fallback>
        <oleObject progId="Equation.3" shapeId="10277" r:id="rId44"/>
      </mc:Fallback>
    </mc:AlternateContent>
    <mc:AlternateContent xmlns:mc="http://schemas.openxmlformats.org/markup-compatibility/2006">
      <mc:Choice Requires="x14">
        <oleObject progId="Equation.3" shapeId="10278" r:id="rId46">
          <objectPr defaultSize="0" autoPict="0" r:id="rId47">
            <anchor moveWithCells="1" sizeWithCells="1">
              <from>
                <xdr:col>3</xdr:col>
                <xdr:colOff>28575</xdr:colOff>
                <xdr:row>150</xdr:row>
                <xdr:rowOff>85725</xdr:rowOff>
              </from>
              <to>
                <xdr:col>4</xdr:col>
                <xdr:colOff>276225</xdr:colOff>
                <xdr:row>152</xdr:row>
                <xdr:rowOff>152400</xdr:rowOff>
              </to>
            </anchor>
          </objectPr>
        </oleObject>
      </mc:Choice>
      <mc:Fallback>
        <oleObject progId="Equation.3" shapeId="10278" r:id="rId46"/>
      </mc:Fallback>
    </mc:AlternateContent>
    <mc:AlternateContent xmlns:mc="http://schemas.openxmlformats.org/markup-compatibility/2006">
      <mc:Choice Requires="x14">
        <oleObject progId="Equation.3" shapeId="10279" r:id="rId48">
          <objectPr defaultSize="0" autoPict="0" r:id="rId49">
            <anchor moveWithCells="1" sizeWithCells="1">
              <from>
                <xdr:col>0</xdr:col>
                <xdr:colOff>209550</xdr:colOff>
                <xdr:row>156</xdr:row>
                <xdr:rowOff>0</xdr:rowOff>
              </from>
              <to>
                <xdr:col>1</xdr:col>
                <xdr:colOff>304800</xdr:colOff>
                <xdr:row>157</xdr:row>
                <xdr:rowOff>114300</xdr:rowOff>
              </to>
            </anchor>
          </objectPr>
        </oleObject>
      </mc:Choice>
      <mc:Fallback>
        <oleObject progId="Equation.3" shapeId="10279" r:id="rId48"/>
      </mc:Fallback>
    </mc:AlternateContent>
    <mc:AlternateContent xmlns:mc="http://schemas.openxmlformats.org/markup-compatibility/2006">
      <mc:Choice Requires="x14">
        <oleObject progId="Equation.3" shapeId="10280" r:id="rId50">
          <objectPr defaultSize="0" autoPict="0" r:id="rId51">
            <anchor moveWithCells="1" sizeWithCells="1">
              <from>
                <xdr:col>0</xdr:col>
                <xdr:colOff>114300</xdr:colOff>
                <xdr:row>157</xdr:row>
                <xdr:rowOff>85725</xdr:rowOff>
              </from>
              <to>
                <xdr:col>1</xdr:col>
                <xdr:colOff>295275</xdr:colOff>
                <xdr:row>159</xdr:row>
                <xdr:rowOff>152400</xdr:rowOff>
              </to>
            </anchor>
          </objectPr>
        </oleObject>
      </mc:Choice>
      <mc:Fallback>
        <oleObject progId="Equation.3" shapeId="10280" r:id="rId50"/>
      </mc:Fallback>
    </mc:AlternateContent>
    <mc:AlternateContent xmlns:mc="http://schemas.openxmlformats.org/markup-compatibility/2006">
      <mc:Choice Requires="x14">
        <oleObject progId="Equation.3" shapeId="10281" r:id="rId52">
          <objectPr defaultSize="0" autoPict="0" r:id="rId53">
            <anchor moveWithCells="1" sizeWithCells="1">
              <from>
                <xdr:col>0</xdr:col>
                <xdr:colOff>523875</xdr:colOff>
                <xdr:row>174</xdr:row>
                <xdr:rowOff>66675</xdr:rowOff>
              </from>
              <to>
                <xdr:col>2</xdr:col>
                <xdr:colOff>571500</xdr:colOff>
                <xdr:row>176</xdr:row>
                <xdr:rowOff>85725</xdr:rowOff>
              </to>
            </anchor>
          </objectPr>
        </oleObject>
      </mc:Choice>
      <mc:Fallback>
        <oleObject progId="Equation.3" shapeId="10281" r:id="rId52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№ Швеллера" prompt="Выберите № швеллера согласно ГОСТ 8240-97">
          <x14:formula1>
            <xm:f>'Геом. характеристики швеллера'!$A$6:$A$41</xm:f>
          </x14:formula1>
          <xm:sqref>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5"/>
  <sheetViews>
    <sheetView topLeftCell="A7" zoomScaleNormal="100" workbookViewId="0">
      <selection activeCell="H23" sqref="H23"/>
    </sheetView>
  </sheetViews>
  <sheetFormatPr defaultRowHeight="15.75" x14ac:dyDescent="0.25"/>
  <cols>
    <col min="1" max="1" width="8.140625" style="2" customWidth="1"/>
    <col min="2" max="2" width="6.42578125" style="2" customWidth="1"/>
    <col min="3" max="3" width="9" style="2" customWidth="1"/>
    <col min="4" max="4" width="8.5703125" style="2" customWidth="1"/>
    <col min="5" max="5" width="18.140625" style="2" customWidth="1"/>
    <col min="6" max="6" width="4.42578125" style="2" customWidth="1"/>
    <col min="7" max="7" width="32" style="2" customWidth="1"/>
    <col min="8" max="8" width="32.140625" style="2" customWidth="1"/>
    <col min="9" max="9" width="17.42578125" style="2" customWidth="1"/>
    <col min="10" max="10" width="9.140625" style="2"/>
    <col min="11" max="11" width="13.42578125" style="2" bestFit="1" customWidth="1"/>
    <col min="12" max="16384" width="9.140625" style="2"/>
  </cols>
  <sheetData>
    <row r="1" spans="1:7" ht="32.25" customHeight="1" x14ac:dyDescent="0.25">
      <c r="A1" s="93" t="s">
        <v>26</v>
      </c>
      <c r="B1" s="93"/>
      <c r="C1" s="93"/>
      <c r="D1" s="93"/>
      <c r="E1" s="93"/>
      <c r="F1" s="93"/>
      <c r="G1" s="93"/>
    </row>
    <row r="3" spans="1:7" x14ac:dyDescent="0.25">
      <c r="A3" s="2" t="s">
        <v>0</v>
      </c>
    </row>
    <row r="4" spans="1:7" ht="36.75" customHeight="1" x14ac:dyDescent="0.25">
      <c r="A4" s="3"/>
      <c r="B4" s="95" t="s">
        <v>266</v>
      </c>
      <c r="C4" s="95"/>
      <c r="D4" s="95"/>
      <c r="E4" s="95"/>
      <c r="F4" s="95"/>
      <c r="G4" s="7"/>
    </row>
    <row r="5" spans="1:7" ht="38.25" customHeight="1" x14ac:dyDescent="0.25">
      <c r="A5" s="3"/>
      <c r="B5" s="95" t="s">
        <v>4</v>
      </c>
      <c r="C5" s="95"/>
      <c r="D5" s="95"/>
      <c r="E5" s="95"/>
      <c r="F5" s="95"/>
      <c r="G5" s="8"/>
    </row>
    <row r="6" spans="1:7" ht="51.75" customHeight="1" x14ac:dyDescent="0.25">
      <c r="A6" s="3"/>
      <c r="B6" s="95" t="s">
        <v>10</v>
      </c>
      <c r="C6" s="95"/>
      <c r="D6" s="95"/>
      <c r="E6" s="95"/>
      <c r="F6" s="95"/>
      <c r="G6" s="8"/>
    </row>
    <row r="7" spans="1:7" ht="89.25" customHeight="1" x14ac:dyDescent="0.25">
      <c r="A7" s="3"/>
      <c r="B7" s="95" t="s">
        <v>232</v>
      </c>
      <c r="C7" s="95"/>
      <c r="D7" s="95"/>
      <c r="E7" s="95"/>
      <c r="F7" s="95"/>
      <c r="G7" s="8"/>
    </row>
    <row r="8" spans="1:7" ht="19.5" customHeight="1" x14ac:dyDescent="0.25">
      <c r="A8" s="3"/>
      <c r="B8" s="94"/>
      <c r="C8" s="94"/>
      <c r="D8" s="6"/>
      <c r="E8" s="6"/>
      <c r="F8" s="6"/>
      <c r="G8" s="9" t="s">
        <v>9</v>
      </c>
    </row>
    <row r="9" spans="1:7" x14ac:dyDescent="0.25">
      <c r="A9" s="2" t="s">
        <v>1</v>
      </c>
    </row>
    <row r="11" spans="1:7" x14ac:dyDescent="0.25">
      <c r="A11" s="92" t="s">
        <v>2</v>
      </c>
      <c r="B11" s="92"/>
      <c r="C11" s="92"/>
      <c r="D11" s="92"/>
      <c r="E11" s="10" t="s">
        <v>3</v>
      </c>
      <c r="F11" s="99" t="s">
        <v>21</v>
      </c>
      <c r="G11" s="99"/>
    </row>
    <row r="12" spans="1:7" x14ac:dyDescent="0.25">
      <c r="A12" s="92" t="s">
        <v>6</v>
      </c>
      <c r="B12" s="92"/>
      <c r="C12" s="92"/>
      <c r="D12" s="92"/>
      <c r="E12" s="13">
        <v>6</v>
      </c>
      <c r="F12" s="99"/>
      <c r="G12" s="99"/>
    </row>
    <row r="13" spans="1:7" ht="32.25" customHeight="1" x14ac:dyDescent="0.25">
      <c r="A13" s="107" t="s">
        <v>27</v>
      </c>
      <c r="B13" s="108"/>
      <c r="C13" s="108"/>
      <c r="D13" s="109"/>
      <c r="E13" s="13">
        <v>1</v>
      </c>
      <c r="F13" s="96" t="s">
        <v>29</v>
      </c>
      <c r="G13" s="96"/>
    </row>
    <row r="14" spans="1:7" ht="33" customHeight="1" x14ac:dyDescent="0.25">
      <c r="A14" s="89" t="s">
        <v>295</v>
      </c>
      <c r="B14" s="90"/>
      <c r="C14" s="90"/>
      <c r="D14" s="91"/>
      <c r="E14" s="13">
        <v>320</v>
      </c>
      <c r="F14" s="92" t="s">
        <v>28</v>
      </c>
      <c r="G14" s="92"/>
    </row>
    <row r="15" spans="1:7" ht="18.75" x14ac:dyDescent="0.35">
      <c r="A15" s="107" t="s">
        <v>32</v>
      </c>
      <c r="B15" s="108"/>
      <c r="C15" s="108"/>
      <c r="D15" s="109"/>
      <c r="E15" s="13">
        <v>26</v>
      </c>
      <c r="F15" s="107" t="s">
        <v>30</v>
      </c>
      <c r="G15" s="109"/>
    </row>
    <row r="16" spans="1:7" ht="17.25" x14ac:dyDescent="0.3">
      <c r="A16" s="92" t="s">
        <v>52</v>
      </c>
      <c r="B16" s="92"/>
      <c r="C16" s="92"/>
      <c r="D16" s="92"/>
      <c r="E16" s="13">
        <v>12</v>
      </c>
      <c r="F16" s="99"/>
      <c r="G16" s="99"/>
    </row>
    <row r="17" spans="1:7" ht="29.25" customHeight="1" x14ac:dyDescent="0.25">
      <c r="A17" s="96" t="s">
        <v>23</v>
      </c>
      <c r="B17" s="96"/>
      <c r="C17" s="96"/>
      <c r="D17" s="96"/>
      <c r="E17" s="13">
        <v>240</v>
      </c>
      <c r="F17" s="99"/>
      <c r="G17" s="99"/>
    </row>
    <row r="18" spans="1:7" ht="29.25" customHeight="1" x14ac:dyDescent="0.25">
      <c r="A18" s="89" t="s">
        <v>281</v>
      </c>
      <c r="B18" s="90"/>
      <c r="C18" s="90"/>
      <c r="D18" s="91"/>
      <c r="E18" s="13">
        <f>0.58*E17</f>
        <v>139.19999999999999</v>
      </c>
      <c r="F18" s="84"/>
      <c r="G18" s="85"/>
    </row>
    <row r="19" spans="1:7" x14ac:dyDescent="0.25">
      <c r="A19" s="92" t="s">
        <v>20</v>
      </c>
      <c r="B19" s="92"/>
      <c r="C19" s="92"/>
      <c r="D19" s="92"/>
      <c r="E19" s="13">
        <v>0.9</v>
      </c>
      <c r="F19" s="107" t="s">
        <v>31</v>
      </c>
      <c r="G19" s="109"/>
    </row>
    <row r="20" spans="1:7" x14ac:dyDescent="0.25">
      <c r="A20" s="92" t="s">
        <v>17</v>
      </c>
      <c r="B20" s="92"/>
      <c r="C20" s="92"/>
      <c r="D20" s="92"/>
      <c r="E20" s="13" t="s">
        <v>18</v>
      </c>
      <c r="F20" s="99"/>
      <c r="G20" s="99"/>
    </row>
    <row r="21" spans="1:7" x14ac:dyDescent="0.25">
      <c r="A21" s="107" t="s">
        <v>44</v>
      </c>
      <c r="B21" s="108"/>
      <c r="C21" s="108"/>
      <c r="D21" s="109"/>
      <c r="E21" s="13">
        <f>INDEX('Геом. характеристики швеллера'!B6:B41,MATCH('с учетом бимомента'!E20,'Геом. характеристики швеллера'!A6:A41,0))</f>
        <v>200</v>
      </c>
      <c r="F21" s="107" t="s">
        <v>46</v>
      </c>
      <c r="G21" s="109"/>
    </row>
    <row r="22" spans="1:7" x14ac:dyDescent="0.25">
      <c r="A22" s="107" t="s">
        <v>45</v>
      </c>
      <c r="B22" s="108"/>
      <c r="C22" s="108"/>
      <c r="D22" s="109"/>
      <c r="E22" s="13">
        <f>INDEX('Геом. характеристики швеллера'!C6:C41,MATCH('с учетом бимомента'!E20,'Геом. характеристики швеллера'!A6:A41,0))</f>
        <v>76</v>
      </c>
      <c r="F22" s="107" t="s">
        <v>46</v>
      </c>
      <c r="G22" s="109"/>
    </row>
    <row r="23" spans="1:7" ht="18.75" x14ac:dyDescent="0.35">
      <c r="A23" s="107" t="s">
        <v>271</v>
      </c>
      <c r="B23" s="108"/>
      <c r="C23" s="108"/>
      <c r="D23" s="109"/>
      <c r="E23" s="13">
        <f>INDEX('Геом. характеристики швеллера'!D5:D40,MATCH('с учетом бимомента'!E20,'Геом. характеристики швеллера'!A5:A40,0))</f>
        <v>5.2</v>
      </c>
      <c r="F23" s="107" t="s">
        <v>46</v>
      </c>
      <c r="G23" s="109"/>
    </row>
    <row r="24" spans="1:7" x14ac:dyDescent="0.25">
      <c r="A24" s="107" t="s">
        <v>285</v>
      </c>
      <c r="B24" s="108"/>
      <c r="C24" s="108"/>
      <c r="D24" s="109"/>
      <c r="E24" s="13">
        <f>INDEX('Геом. характеристики швеллера'!E5:E40,MATCH('с учетом бимомента'!E20,'Геом. характеристики швеллера'!A5:A40,0))</f>
        <v>9</v>
      </c>
      <c r="F24" s="107" t="s">
        <v>46</v>
      </c>
      <c r="G24" s="109"/>
    </row>
    <row r="25" spans="1:7" ht="18.75" x14ac:dyDescent="0.35">
      <c r="A25" s="107" t="s">
        <v>33</v>
      </c>
      <c r="B25" s="108"/>
      <c r="C25" s="108"/>
      <c r="D25" s="109"/>
      <c r="E25" s="13">
        <f>INDEX('Геом. характеристики швеллера'!I6:I41,MATCH('с учетом бимомента'!E20,'Геом. характеристики швеллера'!A6:A41,0))</f>
        <v>18.399999999999999</v>
      </c>
      <c r="F25" s="107" t="s">
        <v>46</v>
      </c>
      <c r="G25" s="109"/>
    </row>
    <row r="26" spans="1:7" ht="34.5" customHeight="1" x14ac:dyDescent="0.35">
      <c r="A26" s="89" t="s">
        <v>50</v>
      </c>
      <c r="B26" s="90"/>
      <c r="C26" s="90"/>
      <c r="D26" s="91"/>
      <c r="E26" s="13">
        <f>INDEX('Геом. характеристики швеллера'!Q6:Q41,MATCH('с учетом бимомента'!E20,'Геом. характеристики швеллера'!A6:A41,0))</f>
        <v>2.2999999999999998</v>
      </c>
      <c r="F26" s="107" t="s">
        <v>46</v>
      </c>
      <c r="G26" s="109"/>
    </row>
    <row r="27" spans="1:7" ht="34.5" customHeight="1" x14ac:dyDescent="0.25">
      <c r="A27" s="89" t="s">
        <v>272</v>
      </c>
      <c r="B27" s="90"/>
      <c r="C27" s="90"/>
      <c r="D27" s="91"/>
      <c r="E27" s="13">
        <f>INDEX('Геом. характеристики швеллера'!M6:M41,MATCH('с учетом бимомента'!E20,'Геом. характеристики швеллера'!A6:A41,0))</f>
        <v>88</v>
      </c>
      <c r="F27" s="107" t="s">
        <v>46</v>
      </c>
      <c r="G27" s="109"/>
    </row>
    <row r="28" spans="1:7" ht="34.5" customHeight="1" x14ac:dyDescent="0.25">
      <c r="A28" s="96" t="s">
        <v>42</v>
      </c>
      <c r="B28" s="96"/>
      <c r="C28" s="96"/>
      <c r="D28" s="96"/>
      <c r="E28" s="13">
        <f>INDEX('Геом. характеристики швеллера'!J6:J41,MATCH('с учетом бимомента'!E20,'Геом. характеристики швеллера'!A6:A41,0))</f>
        <v>1530</v>
      </c>
      <c r="F28" s="107" t="s">
        <v>46</v>
      </c>
      <c r="G28" s="109"/>
    </row>
    <row r="29" spans="1:7" ht="34.5" customHeight="1" x14ac:dyDescent="0.25">
      <c r="A29" s="96" t="s">
        <v>43</v>
      </c>
      <c r="B29" s="96"/>
      <c r="C29" s="96"/>
      <c r="D29" s="96"/>
      <c r="E29" s="13">
        <f>INDEX('Геом. характеристики швеллера'!N6:N41,MATCH('с учетом бимомента'!E20,'Геом. характеристики швеллера'!A6:A41,0))</f>
        <v>134</v>
      </c>
      <c r="F29" s="107" t="s">
        <v>46</v>
      </c>
      <c r="G29" s="109"/>
    </row>
    <row r="30" spans="1:7" ht="48" customHeight="1" x14ac:dyDescent="0.25">
      <c r="A30" s="89" t="s">
        <v>63</v>
      </c>
      <c r="B30" s="90"/>
      <c r="C30" s="90"/>
      <c r="D30" s="91"/>
      <c r="E30" s="13">
        <f>INDEX('Секториальные характер швеллера'!C6:C41,MATCH('с учетом бимомента'!E20,'Геом. характеристики швеллера'!A6:A41,0))</f>
        <v>8873</v>
      </c>
      <c r="F30" s="89" t="s">
        <v>47</v>
      </c>
      <c r="G30" s="91"/>
    </row>
    <row r="31" spans="1:7" ht="48" customHeight="1" x14ac:dyDescent="0.25">
      <c r="A31" s="89" t="s">
        <v>48</v>
      </c>
      <c r="B31" s="90"/>
      <c r="C31" s="90"/>
      <c r="D31" s="91"/>
      <c r="E31" s="13">
        <f>INDEX('Секториальные характер швеллера'!D6:D41,MATCH('с учетом бимомента'!E20,'Геом. характеристики швеллера'!A6:A41,0))</f>
        <v>24.4</v>
      </c>
      <c r="F31" s="89" t="s">
        <v>47</v>
      </c>
      <c r="G31" s="91"/>
    </row>
    <row r="32" spans="1:7" ht="48" customHeight="1" x14ac:dyDescent="0.25">
      <c r="A32" s="89" t="s">
        <v>49</v>
      </c>
      <c r="B32" s="90"/>
      <c r="C32" s="90"/>
      <c r="D32" s="91"/>
      <c r="E32" s="13">
        <f>INDEX('Секториальные характер швеллера'!E6:E41,MATCH('с учетом бимомента'!E20,'Геом. характеристики швеллера'!A6:A41,0))</f>
        <v>45.7</v>
      </c>
      <c r="F32" s="89" t="s">
        <v>47</v>
      </c>
      <c r="G32" s="91"/>
    </row>
    <row r="33" spans="1:9" ht="48" customHeight="1" x14ac:dyDescent="0.25">
      <c r="A33" s="137"/>
      <c r="B33" s="138"/>
      <c r="C33" s="138"/>
      <c r="D33" s="139"/>
      <c r="E33" s="13">
        <f>INDEX('Секториальные характер швеллера'!I6:I41,MATCH('с учетом бимомента'!E20,'Геом. характеристики швеллера'!A6:A41,0))</f>
        <v>1.474E-2</v>
      </c>
      <c r="F33" s="89" t="s">
        <v>47</v>
      </c>
      <c r="G33" s="91"/>
    </row>
    <row r="34" spans="1:9" ht="45.75" customHeight="1" x14ac:dyDescent="0.25">
      <c r="A34" s="89"/>
      <c r="B34" s="90"/>
      <c r="C34" s="90"/>
      <c r="D34" s="91"/>
      <c r="E34" s="13">
        <f>INDEX('Секториальные характер швеллера'!B6:B41,MATCH('с учетом бимомента'!E20,'Геом. характеристики швеллера'!A6:A41,0))</f>
        <v>2.2999999999999998</v>
      </c>
      <c r="F34" s="89" t="s">
        <v>47</v>
      </c>
      <c r="G34" s="91"/>
    </row>
    <row r="36" spans="1:9" x14ac:dyDescent="0.25">
      <c r="A36" s="2" t="s">
        <v>8</v>
      </c>
    </row>
    <row r="37" spans="1:9" x14ac:dyDescent="0.25">
      <c r="A37" s="11"/>
      <c r="B37" s="11"/>
    </row>
    <row r="38" spans="1:9" x14ac:dyDescent="0.25">
      <c r="A38" s="11" t="s">
        <v>34</v>
      </c>
      <c r="B38" s="11"/>
    </row>
    <row r="39" spans="1:9" x14ac:dyDescent="0.25">
      <c r="A39" s="11"/>
      <c r="B39" s="11"/>
    </row>
    <row r="40" spans="1:9" x14ac:dyDescent="0.25">
      <c r="A40" s="92" t="s">
        <v>39</v>
      </c>
      <c r="B40" s="92"/>
      <c r="C40" s="92"/>
      <c r="D40" s="92"/>
      <c r="E40" s="12" t="s">
        <v>3</v>
      </c>
    </row>
    <row r="41" spans="1:9" ht="18.75" x14ac:dyDescent="0.35">
      <c r="A41" s="92" t="s">
        <v>35</v>
      </c>
      <c r="B41" s="92"/>
      <c r="C41" s="92"/>
      <c r="D41" s="92"/>
      <c r="E41" s="14">
        <f>E14*E13</f>
        <v>320</v>
      </c>
    </row>
    <row r="42" spans="1:9" ht="18.75" x14ac:dyDescent="0.35">
      <c r="A42" s="92" t="s">
        <v>36</v>
      </c>
      <c r="B42" s="92"/>
      <c r="C42" s="92"/>
      <c r="D42" s="92"/>
      <c r="E42" s="14">
        <f>E15*E13</f>
        <v>26</v>
      </c>
    </row>
    <row r="43" spans="1:9" ht="18.75" x14ac:dyDescent="0.35">
      <c r="A43" s="92" t="s">
        <v>38</v>
      </c>
      <c r="B43" s="92"/>
      <c r="C43" s="92"/>
      <c r="D43" s="92"/>
      <c r="E43" s="14">
        <f>E25</f>
        <v>18.399999999999999</v>
      </c>
      <c r="I43"/>
    </row>
    <row r="44" spans="1:9" x14ac:dyDescent="0.25">
      <c r="A44" s="92" t="s">
        <v>37</v>
      </c>
      <c r="B44" s="92"/>
      <c r="C44" s="92"/>
      <c r="D44" s="92"/>
      <c r="E44" s="14">
        <f>E41+E42+E43</f>
        <v>364.4</v>
      </c>
    </row>
    <row r="46" spans="1:9" x14ac:dyDescent="0.25">
      <c r="A46" s="2" t="s">
        <v>267</v>
      </c>
    </row>
    <row r="48" spans="1:9" ht="34.5" customHeight="1" x14ac:dyDescent="0.3">
      <c r="A48" s="111" t="s">
        <v>12</v>
      </c>
      <c r="B48" s="111"/>
      <c r="C48" s="111"/>
      <c r="D48" s="111"/>
      <c r="E48" s="111"/>
      <c r="F48" s="111"/>
      <c r="G48" s="111"/>
    </row>
    <row r="49" spans="1:10" ht="16.5" x14ac:dyDescent="0.3">
      <c r="B49" s="4"/>
    </row>
    <row r="50" spans="1:10" x14ac:dyDescent="0.25">
      <c r="I50"/>
    </row>
    <row r="55" spans="1:10" x14ac:dyDescent="0.25">
      <c r="J55"/>
    </row>
    <row r="59" spans="1:10" ht="16.5" x14ac:dyDescent="0.3">
      <c r="C59" s="4"/>
    </row>
    <row r="63" spans="1:10" ht="32.25" customHeight="1" x14ac:dyDescent="0.25">
      <c r="A63" s="93" t="s">
        <v>13</v>
      </c>
      <c r="B63" s="93"/>
      <c r="C63" s="93"/>
      <c r="D63" s="93"/>
      <c r="E63" s="93"/>
      <c r="F63" s="93"/>
      <c r="G63" s="93"/>
    </row>
    <row r="65" spans="2:4" x14ac:dyDescent="0.25">
      <c r="B65"/>
      <c r="C65" s="5"/>
    </row>
    <row r="67" spans="2:4" x14ac:dyDescent="0.25">
      <c r="B67" s="1"/>
      <c r="C67" s="5">
        <f>E44*10*E12*(COS($E$16*PI()/180))/2/1000</f>
        <v>10.693109571221964</v>
      </c>
      <c r="D67" s="2" t="s">
        <v>14</v>
      </c>
    </row>
    <row r="69" spans="2:4" ht="18.75" customHeight="1" x14ac:dyDescent="0.25">
      <c r="B69"/>
    </row>
    <row r="70" spans="2:4" x14ac:dyDescent="0.25">
      <c r="B70"/>
    </row>
    <row r="71" spans="2:4" x14ac:dyDescent="0.25">
      <c r="C71" s="5">
        <f>E44*10*E12*(SIN($E$16*PI()/180))/2/1000</f>
        <v>2.2728906040197447</v>
      </c>
      <c r="D71" s="2" t="s">
        <v>14</v>
      </c>
    </row>
    <row r="72" spans="2:4" x14ac:dyDescent="0.25">
      <c r="B72"/>
    </row>
    <row r="73" spans="2:4" x14ac:dyDescent="0.25">
      <c r="B73"/>
    </row>
    <row r="75" spans="2:4" x14ac:dyDescent="0.25">
      <c r="B75"/>
      <c r="C75" s="5">
        <f>E44*10*E12^2*(COS($E$16*PI()/180))/8/1000</f>
        <v>16.039664356832944</v>
      </c>
      <c r="D75" s="2" t="s">
        <v>15</v>
      </c>
    </row>
    <row r="77" spans="2:4" x14ac:dyDescent="0.25">
      <c r="B77"/>
    </row>
    <row r="79" spans="2:4" x14ac:dyDescent="0.25">
      <c r="B79"/>
      <c r="C79" s="5">
        <f>E44*10*E12^2*(SIN($E$16*PI()/180))/8/1000</f>
        <v>3.4093359060296171</v>
      </c>
      <c r="D79" s="2" t="s">
        <v>15</v>
      </c>
    </row>
    <row r="81" spans="1:7" ht="18.75" customHeight="1" x14ac:dyDescent="0.25">
      <c r="A81" s="113" t="s">
        <v>59</v>
      </c>
      <c r="B81" s="113"/>
      <c r="C81" s="113"/>
      <c r="D81" s="113"/>
      <c r="E81" s="113"/>
      <c r="F81" s="113"/>
      <c r="G81" s="113"/>
    </row>
    <row r="83" spans="1:7" x14ac:dyDescent="0.25">
      <c r="B83"/>
    </row>
    <row r="84" spans="1:7" x14ac:dyDescent="0.25">
      <c r="B84"/>
    </row>
    <row r="85" spans="1:7" x14ac:dyDescent="0.25">
      <c r="B85"/>
    </row>
    <row r="86" spans="1:7" x14ac:dyDescent="0.25">
      <c r="B86"/>
    </row>
    <row r="87" spans="1:7" x14ac:dyDescent="0.25">
      <c r="B87" t="s">
        <v>58</v>
      </c>
      <c r="C87" s="2">
        <f>(E34*10+E22/2-E21*TAN($E$16*PI()/180)/2)*COS($E$16*PI()/180)</f>
        <v>38.875834562986213</v>
      </c>
      <c r="D87" s="2" t="s">
        <v>61</v>
      </c>
    </row>
    <row r="88" spans="1:7" x14ac:dyDescent="0.25">
      <c r="B88"/>
    </row>
    <row r="89" spans="1:7" ht="284.25" customHeight="1" x14ac:dyDescent="0.25">
      <c r="B89"/>
    </row>
    <row r="90" spans="1:7" ht="39.75" customHeight="1" x14ac:dyDescent="0.25">
      <c r="B90" s="25" t="s">
        <v>60</v>
      </c>
      <c r="C90" s="26">
        <f ca="1">'Приложение Б. Бычков'!B37</f>
        <v>1.2965600000000002</v>
      </c>
      <c r="D90" s="27"/>
      <c r="E90" s="86" t="s">
        <v>56</v>
      </c>
      <c r="F90" s="86"/>
      <c r="G90" s="86"/>
    </row>
    <row r="91" spans="1:7" x14ac:dyDescent="0.25">
      <c r="B91"/>
    </row>
    <row r="92" spans="1:7" x14ac:dyDescent="0.25">
      <c r="B92" s="2" t="s">
        <v>57</v>
      </c>
      <c r="C92" s="2">
        <f ca="1">C90*0.01*C87*10*E44*E12^2</f>
        <v>66123.101127683098</v>
      </c>
      <c r="D92" s="2" t="s">
        <v>62</v>
      </c>
    </row>
    <row r="94" spans="1:7" x14ac:dyDescent="0.25">
      <c r="A94" s="93" t="s">
        <v>24</v>
      </c>
      <c r="B94" s="93"/>
      <c r="C94" s="93"/>
      <c r="D94" s="93"/>
      <c r="E94" s="93"/>
      <c r="F94" s="93"/>
      <c r="G94" s="93"/>
    </row>
    <row r="96" spans="1:7" x14ac:dyDescent="0.25">
      <c r="B96"/>
    </row>
    <row r="99" spans="1:7" x14ac:dyDescent="0.25">
      <c r="A99" s="2" t="s">
        <v>40</v>
      </c>
      <c r="B99"/>
    </row>
    <row r="100" spans="1:7" x14ac:dyDescent="0.25">
      <c r="A100" s="15"/>
      <c r="B100" s="16"/>
      <c r="C100" s="16"/>
      <c r="D100" s="16"/>
      <c r="E100" s="16"/>
      <c r="F100" s="16"/>
      <c r="G100" s="17"/>
    </row>
    <row r="101" spans="1:7" x14ac:dyDescent="0.25">
      <c r="A101" s="18"/>
      <c r="B101" s="19"/>
      <c r="C101" s="11"/>
      <c r="D101" s="11"/>
      <c r="E101" s="11"/>
      <c r="F101" s="11"/>
      <c r="G101" s="20"/>
    </row>
    <row r="102" spans="1:7" x14ac:dyDescent="0.25">
      <c r="A102" s="18"/>
      <c r="B102" s="11"/>
      <c r="C102" s="11"/>
      <c r="D102" s="11"/>
      <c r="E102" s="11"/>
      <c r="F102" s="11"/>
      <c r="G102" s="20"/>
    </row>
    <row r="103" spans="1:7" x14ac:dyDescent="0.25">
      <c r="A103" s="18"/>
      <c r="B103" s="19"/>
      <c r="C103" s="11"/>
      <c r="D103" s="11"/>
      <c r="E103" s="11"/>
      <c r="F103" s="11"/>
      <c r="G103" s="20"/>
    </row>
    <row r="104" spans="1:7" x14ac:dyDescent="0.25">
      <c r="A104" s="18"/>
      <c r="B104" s="11"/>
      <c r="C104" s="11"/>
      <c r="D104" s="11"/>
      <c r="E104" s="11"/>
      <c r="F104" s="11"/>
      <c r="G104" s="20"/>
    </row>
    <row r="105" spans="1:7" x14ac:dyDescent="0.25">
      <c r="A105" s="18"/>
      <c r="B105" s="11"/>
      <c r="C105" s="11"/>
      <c r="D105" s="11"/>
      <c r="E105" s="11"/>
      <c r="F105" s="11"/>
      <c r="G105" s="20"/>
    </row>
    <row r="106" spans="1:7" x14ac:dyDescent="0.25">
      <c r="A106" s="18"/>
      <c r="B106" s="11"/>
      <c r="C106" s="11"/>
      <c r="D106" s="11"/>
      <c r="E106" s="11"/>
      <c r="F106" s="11"/>
      <c r="G106" s="20"/>
    </row>
    <row r="107" spans="1:7" x14ac:dyDescent="0.25">
      <c r="A107" s="18"/>
      <c r="B107" s="11"/>
      <c r="C107" s="11"/>
      <c r="D107" s="11"/>
      <c r="E107" s="11"/>
      <c r="F107" s="11"/>
      <c r="G107" s="20"/>
    </row>
    <row r="108" spans="1:7" x14ac:dyDescent="0.25">
      <c r="A108" s="18"/>
      <c r="B108" s="11"/>
      <c r="C108" s="11"/>
      <c r="D108" s="11"/>
      <c r="E108" s="11"/>
      <c r="F108" s="11"/>
      <c r="G108" s="20"/>
    </row>
    <row r="109" spans="1:7" x14ac:dyDescent="0.25">
      <c r="A109" s="18"/>
      <c r="B109" s="11"/>
      <c r="C109" s="11"/>
      <c r="D109" s="11"/>
      <c r="E109" s="11"/>
      <c r="F109" s="11"/>
      <c r="G109" s="20"/>
    </row>
    <row r="110" spans="1:7" x14ac:dyDescent="0.25">
      <c r="A110" s="18"/>
      <c r="B110" s="11"/>
      <c r="C110" s="11"/>
      <c r="D110" s="11"/>
      <c r="E110" s="11"/>
      <c r="F110" s="11"/>
      <c r="G110" s="20"/>
    </row>
    <row r="111" spans="1:7" x14ac:dyDescent="0.25">
      <c r="A111" s="18"/>
      <c r="B111" s="11"/>
      <c r="C111" s="11"/>
      <c r="D111" s="11"/>
      <c r="E111" s="11"/>
      <c r="F111" s="11"/>
      <c r="G111" s="20"/>
    </row>
    <row r="112" spans="1:7" x14ac:dyDescent="0.25">
      <c r="A112" s="18"/>
      <c r="B112" s="11"/>
      <c r="C112" s="11"/>
      <c r="D112" s="11"/>
      <c r="E112" s="11"/>
      <c r="F112" s="11"/>
      <c r="G112" s="20"/>
    </row>
    <row r="113" spans="1:7" x14ac:dyDescent="0.25">
      <c r="A113" s="18"/>
      <c r="B113" s="11"/>
      <c r="C113" s="11"/>
      <c r="D113" s="11"/>
      <c r="E113" s="11"/>
      <c r="F113" s="11"/>
      <c r="G113" s="20"/>
    </row>
    <row r="114" spans="1:7" x14ac:dyDescent="0.25">
      <c r="A114" s="18"/>
      <c r="B114" s="11"/>
      <c r="C114" s="11"/>
      <c r="D114" s="11"/>
      <c r="E114" s="11"/>
      <c r="F114" s="11"/>
      <c r="G114" s="20"/>
    </row>
    <row r="115" spans="1:7" x14ac:dyDescent="0.25">
      <c r="A115" s="18"/>
      <c r="B115" s="11"/>
      <c r="C115" s="11"/>
      <c r="D115" s="11"/>
      <c r="E115" s="11"/>
      <c r="F115" s="11"/>
      <c r="G115" s="20"/>
    </row>
    <row r="116" spans="1:7" x14ac:dyDescent="0.25">
      <c r="A116" s="18"/>
      <c r="B116" s="11"/>
      <c r="C116" s="11"/>
      <c r="D116" s="11"/>
      <c r="E116" s="11"/>
      <c r="F116" s="11"/>
      <c r="G116" s="20"/>
    </row>
    <row r="117" spans="1:7" ht="9" customHeight="1" x14ac:dyDescent="0.25">
      <c r="A117" s="18"/>
      <c r="B117" s="11"/>
      <c r="C117" s="11"/>
      <c r="D117" s="11"/>
      <c r="E117" s="11"/>
      <c r="F117" s="11"/>
      <c r="G117" s="20"/>
    </row>
    <row r="118" spans="1:7" x14ac:dyDescent="0.25">
      <c r="A118" s="140" t="s">
        <v>41</v>
      </c>
      <c r="B118" s="141"/>
      <c r="C118" s="141"/>
      <c r="D118" s="141"/>
      <c r="E118" s="141"/>
      <c r="F118" s="141"/>
      <c r="G118" s="142"/>
    </row>
    <row r="119" spans="1:7" ht="8.25" customHeight="1" x14ac:dyDescent="0.25"/>
    <row r="120" spans="1:7" x14ac:dyDescent="0.25">
      <c r="A120" s="2" t="s">
        <v>64</v>
      </c>
    </row>
    <row r="122" spans="1:7" x14ac:dyDescent="0.25">
      <c r="B122"/>
      <c r="E122" s="21">
        <f ca="1">-(C75*E21/2)/((E28/100)*E17*E19)+(C79*E26*1000)/(E29*E17*E19)-((C92*E31)/(E30*E17*10*E19))</f>
        <v>-0.29860763583320105</v>
      </c>
    </row>
    <row r="123" spans="1:7" x14ac:dyDescent="0.25">
      <c r="E123"/>
    </row>
    <row r="125" spans="1:7" x14ac:dyDescent="0.25">
      <c r="A125" s="2" t="s">
        <v>65</v>
      </c>
    </row>
    <row r="127" spans="1:7" x14ac:dyDescent="0.25">
      <c r="B127"/>
      <c r="C127"/>
      <c r="E127" s="21">
        <f ca="1">-(C75*E21/2)/((E28/100)*E17*E19)-(C79*(E22*0.1-E26)*1000)/(E29*E17*E19)+((C92*E32)/(E30*E17*10*E19))</f>
        <v>-0.95196694572497531</v>
      </c>
    </row>
    <row r="128" spans="1:7" x14ac:dyDescent="0.25">
      <c r="E128"/>
    </row>
    <row r="130" spans="1:5" x14ac:dyDescent="0.25">
      <c r="A130" s="2" t="s">
        <v>66</v>
      </c>
    </row>
    <row r="132" spans="1:5" x14ac:dyDescent="0.25">
      <c r="B132"/>
      <c r="C132"/>
      <c r="E132" s="21">
        <f ca="1">(C75*E21/2)/((E28/100)*E17*E19)+(C79*E26*1000)/(E29*E17*E19)+((C92*E31)/(E30*E17*10*E19))</f>
        <v>0.84044515544818976</v>
      </c>
    </row>
    <row r="133" spans="1:5" x14ac:dyDescent="0.25">
      <c r="A133"/>
      <c r="E133"/>
    </row>
    <row r="135" spans="1:5" x14ac:dyDescent="0.25">
      <c r="A135" s="2" t="s">
        <v>67</v>
      </c>
    </row>
    <row r="137" spans="1:5" x14ac:dyDescent="0.25">
      <c r="A137"/>
      <c r="B137"/>
      <c r="C137"/>
      <c r="E137" s="21">
        <f ca="1">(C75*E21/2)/((E28/100)*E17*E19)-(C79*(E22*0.1-E26)*1000)/(E29*E17*E19)-((C92*E32)/(E30*E17*10*E19))</f>
        <v>-0.29661516469217319</v>
      </c>
    </row>
    <row r="138" spans="1:5" x14ac:dyDescent="0.25">
      <c r="E138"/>
    </row>
    <row r="139" spans="1:5" x14ac:dyDescent="0.25">
      <c r="A139" s="2" t="str">
        <f ca="1">IF(AND(ABS(E127)&lt;1,ABS(E122)&lt;1,ABS(E132)&lt;1,ABS(E137)&lt;1),"Условия прочности обеспечены","Условия прочности не обеспечены")</f>
        <v>Условия прочности обеспечены</v>
      </c>
    </row>
    <row r="141" spans="1:5" x14ac:dyDescent="0.25">
      <c r="A141" s="2" t="s">
        <v>268</v>
      </c>
    </row>
    <row r="143" spans="1:5" x14ac:dyDescent="0.25">
      <c r="A143" s="2" t="s">
        <v>269</v>
      </c>
    </row>
    <row r="145" spans="1:7" x14ac:dyDescent="0.25">
      <c r="B145"/>
    </row>
    <row r="147" spans="1:7" x14ac:dyDescent="0.25">
      <c r="C147" s="2">
        <f>C67*E27*100/(E28*E23*E18*E19)</f>
        <v>9.4408298389739992E-2</v>
      </c>
      <c r="E147" s="110" t="str">
        <f>IF(C147&lt;1,"Условия прочности обеспечены","Условия прочности не обеспечены")</f>
        <v>Условия прочности обеспечены</v>
      </c>
      <c r="F147" s="110"/>
      <c r="G147" s="110"/>
    </row>
    <row r="149" spans="1:7" x14ac:dyDescent="0.25">
      <c r="A149" s="2" t="s">
        <v>273</v>
      </c>
    </row>
    <row r="151" spans="1:7" x14ac:dyDescent="0.25">
      <c r="A151" s="2" t="s">
        <v>274</v>
      </c>
    </row>
    <row r="155" spans="1:7" x14ac:dyDescent="0.25">
      <c r="A155" s="2" t="s">
        <v>275</v>
      </c>
    </row>
    <row r="157" spans="1:7" x14ac:dyDescent="0.25">
      <c r="C157" s="79" t="s">
        <v>276</v>
      </c>
      <c r="D157" s="2">
        <f>C67/(B159*E23/100)</f>
        <v>41.127344504699856</v>
      </c>
      <c r="E157" s="2" t="s">
        <v>277</v>
      </c>
    </row>
    <row r="159" spans="1:7" ht="18.75" x14ac:dyDescent="0.35">
      <c r="A159" s="2" t="s">
        <v>278</v>
      </c>
      <c r="B159" s="81">
        <v>5</v>
      </c>
      <c r="C159" s="2" t="s">
        <v>252</v>
      </c>
      <c r="D159" s="2" t="s">
        <v>279</v>
      </c>
    </row>
    <row r="161" spans="1:7" x14ac:dyDescent="0.25">
      <c r="C161" s="2">
        <f>D157/(E18*E19)</f>
        <v>0.32828340121886862</v>
      </c>
      <c r="E161" s="110" t="str">
        <f>IF(C161&lt;1,"Условия прочности обеспечены","Условия прочности не обеспечены")</f>
        <v>Условия прочности обеспечены</v>
      </c>
      <c r="F161" s="110"/>
      <c r="G161" s="110"/>
    </row>
    <row r="163" spans="1:7" x14ac:dyDescent="0.25">
      <c r="A163" s="2" t="s">
        <v>280</v>
      </c>
    </row>
    <row r="165" spans="1:7" x14ac:dyDescent="0.25">
      <c r="A165" s="2" t="s">
        <v>282</v>
      </c>
    </row>
    <row r="167" spans="1:7" x14ac:dyDescent="0.25">
      <c r="B167"/>
      <c r="C167" s="79" t="s">
        <v>283</v>
      </c>
      <c r="D167"/>
    </row>
    <row r="170" spans="1:7" ht="18.75" x14ac:dyDescent="0.35">
      <c r="A170" s="2" t="s">
        <v>284</v>
      </c>
    </row>
    <row r="172" spans="1:7" x14ac:dyDescent="0.25">
      <c r="A172"/>
      <c r="C172" s="2">
        <f>C67/(E18*E19*E23*(E21-2*E24))*1000</f>
        <v>9.0187747587601272E-2</v>
      </c>
      <c r="E172" s="110" t="str">
        <f>IF(C172&lt;1,"Условия прочности обеспечены","Условия прочности не обеспечены")</f>
        <v>Условия прочности обеспечены</v>
      </c>
      <c r="F172" s="110"/>
      <c r="G172" s="110"/>
    </row>
    <row r="174" spans="1:7" x14ac:dyDescent="0.25">
      <c r="C174" s="2">
        <f>C71/(E18*E19*2*E22*E24)*1000</f>
        <v>1.3262050924173974E-2</v>
      </c>
      <c r="E174" s="110" t="str">
        <f>IF(C174&lt;1,"Условия прочности обеспечены","Условия прочности не обеспечены")</f>
        <v>Условия прочности обеспечены</v>
      </c>
      <c r="F174" s="110"/>
      <c r="G174" s="110"/>
    </row>
    <row r="175" spans="1:7" x14ac:dyDescent="0.25">
      <c r="A175"/>
    </row>
    <row r="176" spans="1:7" x14ac:dyDescent="0.25">
      <c r="A176" s="2" t="s">
        <v>286</v>
      </c>
    </row>
    <row r="178" spans="1:7" x14ac:dyDescent="0.25">
      <c r="A178" s="93" t="s">
        <v>287</v>
      </c>
      <c r="B178" s="93"/>
      <c r="C178" s="93"/>
      <c r="D178" s="93"/>
      <c r="E178" s="93"/>
      <c r="F178" s="93"/>
      <c r="G178" s="93"/>
    </row>
    <row r="179" spans="1:7" ht="122.25" customHeight="1" x14ac:dyDescent="0.25"/>
    <row r="180" spans="1:7" x14ac:dyDescent="0.25">
      <c r="A180" s="2" t="s">
        <v>288</v>
      </c>
    </row>
    <row r="182" spans="1:7" x14ac:dyDescent="0.25">
      <c r="A182" s="2" t="s">
        <v>289</v>
      </c>
    </row>
    <row r="184" spans="1:7" x14ac:dyDescent="0.25">
      <c r="A184" s="113" t="s">
        <v>297</v>
      </c>
      <c r="B184" s="113"/>
      <c r="C184" s="113"/>
      <c r="D184" s="113"/>
      <c r="E184" s="113"/>
      <c r="F184" s="113"/>
      <c r="G184" s="113"/>
    </row>
    <row r="186" spans="1:7" ht="16.5" thickBot="1" x14ac:dyDescent="0.3">
      <c r="A186" s="112" t="s">
        <v>292</v>
      </c>
      <c r="B186" s="82" t="s">
        <v>291</v>
      </c>
      <c r="C186" s="112" t="s">
        <v>276</v>
      </c>
      <c r="D186" s="112">
        <f>E12/B187</f>
        <v>0.03</v>
      </c>
      <c r="E186" s="114" t="s">
        <v>290</v>
      </c>
    </row>
    <row r="187" spans="1:7" x14ac:dyDescent="0.25">
      <c r="A187" s="112"/>
      <c r="B187" s="83">
        <f>IF(E12&lt;=1,120,IF(E12&lt;=3,150,IF(E12&lt;=6,200,IF(E12&lt;=24,250,300))))</f>
        <v>200</v>
      </c>
      <c r="C187" s="112"/>
      <c r="D187" s="112"/>
      <c r="E187" s="114"/>
    </row>
    <row r="189" spans="1:7" x14ac:dyDescent="0.25">
      <c r="A189" s="2" t="s">
        <v>294</v>
      </c>
    </row>
    <row r="191" spans="1:7" x14ac:dyDescent="0.25">
      <c r="A191"/>
      <c r="B191"/>
      <c r="D191" s="2">
        <f>(5*(E14*E13/1.4+E15*E13+E25)*(E12^4))/(384*200*E28)</f>
        <v>1.505357142857143E-2</v>
      </c>
      <c r="E191" s="2" t="s">
        <v>290</v>
      </c>
    </row>
    <row r="193" spans="1:7" x14ac:dyDescent="0.25">
      <c r="A193" s="93" t="s">
        <v>296</v>
      </c>
      <c r="B193" s="93"/>
      <c r="C193" s="93"/>
      <c r="D193" s="93"/>
      <c r="E193" s="93"/>
      <c r="F193" s="93"/>
      <c r="G193" s="93"/>
    </row>
    <row r="195" spans="1:7" x14ac:dyDescent="0.25">
      <c r="A195" s="2" t="str">
        <f>IF(D186&gt;D191,"Условия прочности обеспечены","Условия прочности не обеспечены")</f>
        <v>Условия прочности обеспечены</v>
      </c>
    </row>
  </sheetData>
  <mergeCells count="75">
    <mergeCell ref="B4:F4"/>
    <mergeCell ref="B5:F5"/>
    <mergeCell ref="B6:F6"/>
    <mergeCell ref="B7:F7"/>
    <mergeCell ref="A16:D16"/>
    <mergeCell ref="A12:D12"/>
    <mergeCell ref="A14:D14"/>
    <mergeCell ref="A118:G118"/>
    <mergeCell ref="A21:D21"/>
    <mergeCell ref="A22:D22"/>
    <mergeCell ref="F21:G21"/>
    <mergeCell ref="F22:G22"/>
    <mergeCell ref="A31:D31"/>
    <mergeCell ref="F31:G31"/>
    <mergeCell ref="A41:D41"/>
    <mergeCell ref="A42:D42"/>
    <mergeCell ref="A43:D43"/>
    <mergeCell ref="A44:D44"/>
    <mergeCell ref="A40:D40"/>
    <mergeCell ref="F25:G25"/>
    <mergeCell ref="F29:G29"/>
    <mergeCell ref="A28:D28"/>
    <mergeCell ref="A29:D29"/>
    <mergeCell ref="F20:G20"/>
    <mergeCell ref="F28:G28"/>
    <mergeCell ref="A19:D19"/>
    <mergeCell ref="F17:G17"/>
    <mergeCell ref="F19:G19"/>
    <mergeCell ref="A20:D20"/>
    <mergeCell ref="A17:D17"/>
    <mergeCell ref="A48:G48"/>
    <mergeCell ref="A63:G63"/>
    <mergeCell ref="A94:G94"/>
    <mergeCell ref="A30:D30"/>
    <mergeCell ref="F30:G30"/>
    <mergeCell ref="A33:D33"/>
    <mergeCell ref="F33:G33"/>
    <mergeCell ref="A81:G81"/>
    <mergeCell ref="A34:D34"/>
    <mergeCell ref="F34:G34"/>
    <mergeCell ref="E90:G90"/>
    <mergeCell ref="F32:G32"/>
    <mergeCell ref="A32:D32"/>
    <mergeCell ref="A184:G184"/>
    <mergeCell ref="A186:A187"/>
    <mergeCell ref="A1:G1"/>
    <mergeCell ref="B8:C8"/>
    <mergeCell ref="A26:D26"/>
    <mergeCell ref="F26:G26"/>
    <mergeCell ref="A15:D15"/>
    <mergeCell ref="A13:D13"/>
    <mergeCell ref="F11:G11"/>
    <mergeCell ref="F14:G14"/>
    <mergeCell ref="A11:D11"/>
    <mergeCell ref="A25:D25"/>
    <mergeCell ref="F13:G13"/>
    <mergeCell ref="F12:G12"/>
    <mergeCell ref="F15:G15"/>
    <mergeCell ref="F16:G16"/>
    <mergeCell ref="C186:C187"/>
    <mergeCell ref="D186:D187"/>
    <mergeCell ref="E186:E187"/>
    <mergeCell ref="A193:G193"/>
    <mergeCell ref="A18:D18"/>
    <mergeCell ref="A23:D23"/>
    <mergeCell ref="A24:D24"/>
    <mergeCell ref="F23:G23"/>
    <mergeCell ref="F24:G24"/>
    <mergeCell ref="A27:D27"/>
    <mergeCell ref="F27:G27"/>
    <mergeCell ref="E147:G147"/>
    <mergeCell ref="E161:G161"/>
    <mergeCell ref="E172:G172"/>
    <mergeCell ref="E174:G174"/>
    <mergeCell ref="A178:G178"/>
  </mergeCells>
  <pageMargins left="0.7" right="0.7" top="0.75" bottom="0.75" header="0.3" footer="0.3"/>
  <pageSetup paperSize="9" orientation="portrait" r:id="rId1"/>
  <headerFooter>
    <oddFooter>&amp;Cbuildingbook.ru&amp;R&amp;P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333375</xdr:colOff>
                <xdr:row>67</xdr:row>
                <xdr:rowOff>28575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7">
            <anchor moveWithCells="1" sizeWithCells="1">
              <from>
                <xdr:col>0</xdr:col>
                <xdr:colOff>523875</xdr:colOff>
                <xdr:row>69</xdr:row>
                <xdr:rowOff>190500</xdr:rowOff>
              </from>
              <to>
                <xdr:col>1</xdr:col>
                <xdr:colOff>314325</xdr:colOff>
                <xdr:row>71</xdr:row>
                <xdr:rowOff>28575</xdr:rowOff>
              </to>
            </anchor>
          </objectPr>
        </oleObject>
      </mc:Choice>
      <mc:Fallback>
        <oleObject progId="Equation.3" shapeId="3076" r:id="rId6"/>
      </mc:Fallback>
    </mc:AlternateContent>
    <mc:AlternateContent xmlns:mc="http://schemas.openxmlformats.org/markup-compatibility/2006">
      <mc:Choice Requires="x14">
        <oleObject progId="Equation.3" shapeId="3078" r:id="rId8">
          <objectPr defaultSize="0" autoPict="0" r:id="rId9">
            <anchor moveWithCells="1" sizeWithCells="1">
              <from>
                <xdr:col>1</xdr:col>
                <xdr:colOff>0</xdr:colOff>
                <xdr:row>74</xdr:row>
                <xdr:rowOff>0</xdr:rowOff>
              </from>
              <to>
                <xdr:col>1</xdr:col>
                <xdr:colOff>381000</xdr:colOff>
                <xdr:row>75</xdr:row>
                <xdr:rowOff>28575</xdr:rowOff>
              </to>
            </anchor>
          </objectPr>
        </oleObject>
      </mc:Choice>
      <mc:Fallback>
        <oleObject progId="Equation.3" shapeId="3078" r:id="rId8"/>
      </mc:Fallback>
    </mc:AlternateContent>
    <mc:AlternateContent xmlns:mc="http://schemas.openxmlformats.org/markup-compatibility/2006">
      <mc:Choice Requires="x14">
        <oleObject progId="Equation.3" shapeId="3080" r:id="rId10">
          <objectPr defaultSize="0" autoPict="0" r:id="rId11">
            <anchor moveWithCells="1" sizeWithCells="1">
              <from>
                <xdr:col>1</xdr:col>
                <xdr:colOff>0</xdr:colOff>
                <xdr:row>78</xdr:row>
                <xdr:rowOff>0</xdr:rowOff>
              </from>
              <to>
                <xdr:col>1</xdr:col>
                <xdr:colOff>381000</xdr:colOff>
                <xdr:row>79</xdr:row>
                <xdr:rowOff>38100</xdr:rowOff>
              </to>
            </anchor>
          </objectPr>
        </oleObject>
      </mc:Choice>
      <mc:Fallback>
        <oleObject progId="Equation.3" shapeId="3080" r:id="rId10"/>
      </mc:Fallback>
    </mc:AlternateContent>
    <mc:AlternateContent xmlns:mc="http://schemas.openxmlformats.org/markup-compatibility/2006">
      <mc:Choice Requires="x14">
        <oleObject progId="Equation.3" shapeId="3085" r:id="rId12">
          <objectPr defaultSize="0" autoPict="0" r:id="rId13">
            <anchor moveWithCells="1" sizeWithCells="1">
              <from>
                <xdr:col>0</xdr:col>
                <xdr:colOff>419100</xdr:colOff>
                <xdr:row>94</xdr:row>
                <xdr:rowOff>133350</xdr:rowOff>
              </from>
              <to>
                <xdr:col>4</xdr:col>
                <xdr:colOff>457200</xdr:colOff>
                <xdr:row>96</xdr:row>
                <xdr:rowOff>190500</xdr:rowOff>
              </to>
            </anchor>
          </objectPr>
        </oleObject>
      </mc:Choice>
      <mc:Fallback>
        <oleObject progId="Equation.3" shapeId="3085" r:id="rId12"/>
      </mc:Fallback>
    </mc:AlternateContent>
    <mc:AlternateContent xmlns:mc="http://schemas.openxmlformats.org/markup-compatibility/2006">
      <mc:Choice Requires="x14">
        <oleObject progId="Equation.3" shapeId="3094" r:id="rId14">
          <objectPr defaultSize="0" autoPict="0" r:id="rId15">
            <anchor moveWithCells="1" sizeWithCells="1">
              <from>
                <xdr:col>0</xdr:col>
                <xdr:colOff>533400</xdr:colOff>
                <xdr:row>63</xdr:row>
                <xdr:rowOff>152400</xdr:rowOff>
              </from>
              <to>
                <xdr:col>3</xdr:col>
                <xdr:colOff>457200</xdr:colOff>
                <xdr:row>65</xdr:row>
                <xdr:rowOff>142875</xdr:rowOff>
              </to>
            </anchor>
          </objectPr>
        </oleObject>
      </mc:Choice>
      <mc:Fallback>
        <oleObject progId="Equation.3" shapeId="3094" r:id="rId14"/>
      </mc:Fallback>
    </mc:AlternateContent>
    <mc:AlternateContent xmlns:mc="http://schemas.openxmlformats.org/markup-compatibility/2006">
      <mc:Choice Requires="x14">
        <oleObject progId="Equation.3" shapeId="3095" r:id="rId16">
          <objectPr defaultSize="0" autoPict="0" r:id="rId17">
            <anchor moveWithCells="1" sizeWithCells="1">
              <from>
                <xdr:col>0</xdr:col>
                <xdr:colOff>533400</xdr:colOff>
                <xdr:row>67</xdr:row>
                <xdr:rowOff>133350</xdr:rowOff>
              </from>
              <to>
                <xdr:col>3</xdr:col>
                <xdr:colOff>419100</xdr:colOff>
                <xdr:row>69</xdr:row>
                <xdr:rowOff>85725</xdr:rowOff>
              </to>
            </anchor>
          </objectPr>
        </oleObject>
      </mc:Choice>
      <mc:Fallback>
        <oleObject progId="Equation.3" shapeId="3095" r:id="rId16"/>
      </mc:Fallback>
    </mc:AlternateContent>
    <mc:AlternateContent xmlns:mc="http://schemas.openxmlformats.org/markup-compatibility/2006">
      <mc:Choice Requires="x14">
        <oleObject progId="Equation.3" shapeId="3096" r:id="rId18">
          <objectPr defaultSize="0" autoPict="0" r:id="rId19">
            <anchor moveWithCells="1" sizeWithCells="1">
              <from>
                <xdr:col>1</xdr:col>
                <xdr:colOff>9525</xdr:colOff>
                <xdr:row>71</xdr:row>
                <xdr:rowOff>95250</xdr:rowOff>
              </from>
              <to>
                <xdr:col>4</xdr:col>
                <xdr:colOff>57150</xdr:colOff>
                <xdr:row>73</xdr:row>
                <xdr:rowOff>114300</xdr:rowOff>
              </to>
            </anchor>
          </objectPr>
        </oleObject>
      </mc:Choice>
      <mc:Fallback>
        <oleObject progId="Equation.3" shapeId="3096" r:id="rId18"/>
      </mc:Fallback>
    </mc:AlternateContent>
    <mc:AlternateContent xmlns:mc="http://schemas.openxmlformats.org/markup-compatibility/2006">
      <mc:Choice Requires="x14">
        <oleObject progId="Equation.3" shapeId="3098" r:id="rId20">
          <objectPr defaultSize="0" autoPict="0" r:id="rId21">
            <anchor moveWithCells="1" sizeWithCells="1">
              <from>
                <xdr:col>1</xdr:col>
                <xdr:colOff>0</xdr:colOff>
                <xdr:row>82</xdr:row>
                <xdr:rowOff>0</xdr:rowOff>
              </from>
              <to>
                <xdr:col>3</xdr:col>
                <xdr:colOff>76200</xdr:colOff>
                <xdr:row>83</xdr:row>
                <xdr:rowOff>57150</xdr:rowOff>
              </to>
            </anchor>
          </objectPr>
        </oleObject>
      </mc:Choice>
      <mc:Fallback>
        <oleObject progId="Equation.3" shapeId="3098" r:id="rId20"/>
      </mc:Fallback>
    </mc:AlternateContent>
    <mc:AlternateContent xmlns:mc="http://schemas.openxmlformats.org/markup-compatibility/2006">
      <mc:Choice Requires="x14">
        <oleObject progId="Equation.3" shapeId="3100" r:id="rId22">
          <objectPr defaultSize="0" autoPict="0" r:id="rId23">
            <anchor moveWithCells="1" sizeWithCells="1">
              <from>
                <xdr:col>0</xdr:col>
                <xdr:colOff>47625</xdr:colOff>
                <xdr:row>32</xdr:row>
                <xdr:rowOff>66675</xdr:rowOff>
              </from>
              <to>
                <xdr:col>2</xdr:col>
                <xdr:colOff>76200</xdr:colOff>
                <xdr:row>32</xdr:row>
                <xdr:rowOff>533400</xdr:rowOff>
              </to>
            </anchor>
          </objectPr>
        </oleObject>
      </mc:Choice>
      <mc:Fallback>
        <oleObject progId="Equation.3" shapeId="3100" r:id="rId22"/>
      </mc:Fallback>
    </mc:AlternateContent>
    <mc:AlternateContent xmlns:mc="http://schemas.openxmlformats.org/markup-compatibility/2006">
      <mc:Choice Requires="x14">
        <oleObject progId="Equation.3" shapeId="3102" r:id="rId24">
          <objectPr defaultSize="0" autoPict="0" r:id="rId25">
            <anchor moveWithCells="1" sizeWithCells="1">
              <from>
                <xdr:col>0</xdr:col>
                <xdr:colOff>19050</xdr:colOff>
                <xdr:row>33</xdr:row>
                <xdr:rowOff>333375</xdr:rowOff>
              </from>
              <to>
                <xdr:col>0</xdr:col>
                <xdr:colOff>428625</xdr:colOff>
                <xdr:row>33</xdr:row>
                <xdr:rowOff>561975</xdr:rowOff>
              </to>
            </anchor>
          </objectPr>
        </oleObject>
      </mc:Choice>
      <mc:Fallback>
        <oleObject progId="Equation.3" shapeId="3102" r:id="rId24"/>
      </mc:Fallback>
    </mc:AlternateContent>
    <mc:AlternateContent xmlns:mc="http://schemas.openxmlformats.org/markup-compatibility/2006">
      <mc:Choice Requires="x14">
        <oleObject progId="Equation.3" shapeId="3103" r:id="rId26">
          <objectPr defaultSize="0" autoPict="0" r:id="rId27">
            <anchor moveWithCells="1" sizeWithCells="1">
              <from>
                <xdr:col>0</xdr:col>
                <xdr:colOff>514350</xdr:colOff>
                <xdr:row>83</xdr:row>
                <xdr:rowOff>123825</xdr:rowOff>
              </from>
              <to>
                <xdr:col>3</xdr:col>
                <xdr:colOff>495300</xdr:colOff>
                <xdr:row>85</xdr:row>
                <xdr:rowOff>114300</xdr:rowOff>
              </to>
            </anchor>
          </objectPr>
        </oleObject>
      </mc:Choice>
      <mc:Fallback>
        <oleObject progId="Equation.3" shapeId="3103" r:id="rId26"/>
      </mc:Fallback>
    </mc:AlternateContent>
    <mc:AlternateContent xmlns:mc="http://schemas.openxmlformats.org/markup-compatibility/2006">
      <mc:Choice Requires="x14">
        <oleObject progId="Equation.3" shapeId="3104" r:id="rId28">
          <objectPr defaultSize="0" autoPict="0" r:id="rId29">
            <anchor moveWithCells="1" sizeWithCells="1">
              <from>
                <xdr:col>0</xdr:col>
                <xdr:colOff>352425</xdr:colOff>
                <xdr:row>120</xdr:row>
                <xdr:rowOff>85725</xdr:rowOff>
              </from>
              <to>
                <xdr:col>4</xdr:col>
                <xdr:colOff>342900</xdr:colOff>
                <xdr:row>122</xdr:row>
                <xdr:rowOff>142875</xdr:rowOff>
              </to>
            </anchor>
          </objectPr>
        </oleObject>
      </mc:Choice>
      <mc:Fallback>
        <oleObject progId="Equation.3" shapeId="3104" r:id="rId28"/>
      </mc:Fallback>
    </mc:AlternateContent>
    <mc:AlternateContent xmlns:mc="http://schemas.openxmlformats.org/markup-compatibility/2006">
      <mc:Choice Requires="x14">
        <oleObject progId="Equation.3" shapeId="3109" r:id="rId30">
          <objectPr defaultSize="0" autoPict="0" r:id="rId31">
            <anchor moveWithCells="1" sizeWithCells="1">
              <from>
                <xdr:col>0</xdr:col>
                <xdr:colOff>361950</xdr:colOff>
                <xdr:row>125</xdr:row>
                <xdr:rowOff>76200</xdr:rowOff>
              </from>
              <to>
                <xdr:col>4</xdr:col>
                <xdr:colOff>352425</xdr:colOff>
                <xdr:row>127</xdr:row>
                <xdr:rowOff>133350</xdr:rowOff>
              </to>
            </anchor>
          </objectPr>
        </oleObject>
      </mc:Choice>
      <mc:Fallback>
        <oleObject progId="Equation.3" shapeId="3109" r:id="rId30"/>
      </mc:Fallback>
    </mc:AlternateContent>
    <mc:AlternateContent xmlns:mc="http://schemas.openxmlformats.org/markup-compatibility/2006">
      <mc:Choice Requires="x14">
        <oleObject progId="Equation.3" shapeId="3111" r:id="rId32">
          <objectPr defaultSize="0" autoPict="0" r:id="rId33">
            <anchor moveWithCells="1" sizeWithCells="1">
              <from>
                <xdr:col>0</xdr:col>
                <xdr:colOff>428625</xdr:colOff>
                <xdr:row>130</xdr:row>
                <xdr:rowOff>57150</xdr:rowOff>
              </from>
              <to>
                <xdr:col>4</xdr:col>
                <xdr:colOff>314325</xdr:colOff>
                <xdr:row>132</xdr:row>
                <xdr:rowOff>114300</xdr:rowOff>
              </to>
            </anchor>
          </objectPr>
        </oleObject>
      </mc:Choice>
      <mc:Fallback>
        <oleObject progId="Equation.3" shapeId="3111" r:id="rId32"/>
      </mc:Fallback>
    </mc:AlternateContent>
    <mc:AlternateContent xmlns:mc="http://schemas.openxmlformats.org/markup-compatibility/2006">
      <mc:Choice Requires="x14">
        <oleObject progId="Equation.3" shapeId="3113" r:id="rId34">
          <objectPr defaultSize="0" autoPict="0" r:id="rId35">
            <anchor moveWithCells="1" sizeWithCells="1">
              <from>
                <xdr:col>0</xdr:col>
                <xdr:colOff>438150</xdr:colOff>
                <xdr:row>135</xdr:row>
                <xdr:rowOff>76200</xdr:rowOff>
              </from>
              <to>
                <xdr:col>4</xdr:col>
                <xdr:colOff>314325</xdr:colOff>
                <xdr:row>137</xdr:row>
                <xdr:rowOff>133350</xdr:rowOff>
              </to>
            </anchor>
          </objectPr>
        </oleObject>
      </mc:Choice>
      <mc:Fallback>
        <oleObject progId="Equation.3" shapeId="3113" r:id="rId34"/>
      </mc:Fallback>
    </mc:AlternateContent>
    <mc:AlternateContent xmlns:mc="http://schemas.openxmlformats.org/markup-compatibility/2006">
      <mc:Choice Requires="x14">
        <oleObject progId="Equation.3" shapeId="3116" r:id="rId36">
          <objectPr defaultSize="0" autoPict="0" r:id="rId37">
            <anchor moveWithCells="1" sizeWithCells="1">
              <from>
                <xdr:col>0</xdr:col>
                <xdr:colOff>523875</xdr:colOff>
                <xdr:row>75</xdr:row>
                <xdr:rowOff>95250</xdr:rowOff>
              </from>
              <to>
                <xdr:col>4</xdr:col>
                <xdr:colOff>76200</xdr:colOff>
                <xdr:row>77</xdr:row>
                <xdr:rowOff>114300</xdr:rowOff>
              </to>
            </anchor>
          </objectPr>
        </oleObject>
      </mc:Choice>
      <mc:Fallback>
        <oleObject progId="Equation.3" shapeId="3116" r:id="rId36"/>
      </mc:Fallback>
    </mc:AlternateContent>
    <mc:AlternateContent xmlns:mc="http://schemas.openxmlformats.org/markup-compatibility/2006">
      <mc:Choice Requires="x14">
        <oleObject progId="Equation.3" shapeId="3128" r:id="rId38">
          <objectPr defaultSize="0" autoPict="0" r:id="rId39">
            <anchor moveWithCells="1" sizeWithCells="1">
              <from>
                <xdr:col>0</xdr:col>
                <xdr:colOff>457200</xdr:colOff>
                <xdr:row>143</xdr:row>
                <xdr:rowOff>47625</xdr:rowOff>
              </from>
              <to>
                <xdr:col>2</xdr:col>
                <xdr:colOff>209550</xdr:colOff>
                <xdr:row>145</xdr:row>
                <xdr:rowOff>76200</xdr:rowOff>
              </to>
            </anchor>
          </objectPr>
        </oleObject>
      </mc:Choice>
      <mc:Fallback>
        <oleObject progId="Equation.3" shapeId="3128" r:id="rId38"/>
      </mc:Fallback>
    </mc:AlternateContent>
    <mc:AlternateContent xmlns:mc="http://schemas.openxmlformats.org/markup-compatibility/2006">
      <mc:Choice Requires="x14">
        <oleObject progId="Equation.3" shapeId="3129" r:id="rId40">
          <objectPr defaultSize="0" autoPict="0" r:id="rId41">
            <anchor moveWithCells="1" sizeWithCells="1">
              <from>
                <xdr:col>0</xdr:col>
                <xdr:colOff>295275</xdr:colOff>
                <xdr:row>145</xdr:row>
                <xdr:rowOff>104775</xdr:rowOff>
              </from>
              <to>
                <xdr:col>1</xdr:col>
                <xdr:colOff>400050</xdr:colOff>
                <xdr:row>147</xdr:row>
                <xdr:rowOff>133350</xdr:rowOff>
              </to>
            </anchor>
          </objectPr>
        </oleObject>
      </mc:Choice>
      <mc:Fallback>
        <oleObject progId="Equation.3" shapeId="3129" r:id="rId40"/>
      </mc:Fallback>
    </mc:AlternateContent>
    <mc:AlternateContent xmlns:mc="http://schemas.openxmlformats.org/markup-compatibility/2006">
      <mc:Choice Requires="x14">
        <oleObject progId="Equation.3" shapeId="3130" r:id="rId42">
          <objectPr defaultSize="0" autoPict="0" r:id="rId43">
            <anchor moveWithCells="1" sizeWithCells="1">
              <from>
                <xdr:col>0</xdr:col>
                <xdr:colOff>476250</xdr:colOff>
                <xdr:row>151</xdr:row>
                <xdr:rowOff>114300</xdr:rowOff>
              </from>
              <to>
                <xdr:col>2</xdr:col>
                <xdr:colOff>57150</xdr:colOff>
                <xdr:row>153</xdr:row>
                <xdr:rowOff>152400</xdr:rowOff>
              </to>
            </anchor>
          </objectPr>
        </oleObject>
      </mc:Choice>
      <mc:Fallback>
        <oleObject progId="Equation.3" shapeId="3130" r:id="rId42"/>
      </mc:Fallback>
    </mc:AlternateContent>
    <mc:AlternateContent xmlns:mc="http://schemas.openxmlformats.org/markup-compatibility/2006">
      <mc:Choice Requires="x14">
        <oleObject progId="Equation.3" shapeId="3131" r:id="rId44">
          <objectPr defaultSize="0" autoPict="0" r:id="rId45">
            <anchor moveWithCells="1" sizeWithCells="1">
              <from>
                <xdr:col>0</xdr:col>
                <xdr:colOff>409575</xdr:colOff>
                <xdr:row>155</xdr:row>
                <xdr:rowOff>95250</xdr:rowOff>
              </from>
              <to>
                <xdr:col>2</xdr:col>
                <xdr:colOff>152400</xdr:colOff>
                <xdr:row>157</xdr:row>
                <xdr:rowOff>133350</xdr:rowOff>
              </to>
            </anchor>
          </objectPr>
        </oleObject>
      </mc:Choice>
      <mc:Fallback>
        <oleObject progId="Equation.3" shapeId="3131" r:id="rId44"/>
      </mc:Fallback>
    </mc:AlternateContent>
    <mc:AlternateContent xmlns:mc="http://schemas.openxmlformats.org/markup-compatibility/2006">
      <mc:Choice Requires="x14">
        <oleObject progId="Equation.3" shapeId="3132" r:id="rId46">
          <objectPr defaultSize="0" autoPict="0" r:id="rId47">
            <anchor moveWithCells="1" sizeWithCells="1">
              <from>
                <xdr:col>0</xdr:col>
                <xdr:colOff>409575</xdr:colOff>
                <xdr:row>159</xdr:row>
                <xdr:rowOff>76200</xdr:rowOff>
              </from>
              <to>
                <xdr:col>1</xdr:col>
                <xdr:colOff>333375</xdr:colOff>
                <xdr:row>161</xdr:row>
                <xdr:rowOff>114300</xdr:rowOff>
              </to>
            </anchor>
          </objectPr>
        </oleObject>
      </mc:Choice>
      <mc:Fallback>
        <oleObject progId="Equation.3" shapeId="3132" r:id="rId46"/>
      </mc:Fallback>
    </mc:AlternateContent>
    <mc:AlternateContent xmlns:mc="http://schemas.openxmlformats.org/markup-compatibility/2006">
      <mc:Choice Requires="x14">
        <oleObject progId="Equation.3" shapeId="3133" r:id="rId48">
          <objectPr defaultSize="0" autoPict="0" r:id="rId49">
            <anchor moveWithCells="1" sizeWithCells="1">
              <from>
                <xdr:col>0</xdr:col>
                <xdr:colOff>190500</xdr:colOff>
                <xdr:row>165</xdr:row>
                <xdr:rowOff>114300</xdr:rowOff>
              </from>
              <to>
                <xdr:col>1</xdr:col>
                <xdr:colOff>371475</xdr:colOff>
                <xdr:row>167</xdr:row>
                <xdr:rowOff>142875</xdr:rowOff>
              </to>
            </anchor>
          </objectPr>
        </oleObject>
      </mc:Choice>
      <mc:Fallback>
        <oleObject progId="Equation.3" shapeId="3133" r:id="rId48"/>
      </mc:Fallback>
    </mc:AlternateContent>
    <mc:AlternateContent xmlns:mc="http://schemas.openxmlformats.org/markup-compatibility/2006">
      <mc:Choice Requires="x14">
        <oleObject progId="Equation.3" shapeId="3134" r:id="rId50">
          <objectPr defaultSize="0" autoPict="0" r:id="rId51">
            <anchor moveWithCells="1" sizeWithCells="1">
              <from>
                <xdr:col>3</xdr:col>
                <xdr:colOff>28575</xdr:colOff>
                <xdr:row>165</xdr:row>
                <xdr:rowOff>85725</xdr:rowOff>
              </from>
              <to>
                <xdr:col>4</xdr:col>
                <xdr:colOff>276225</xdr:colOff>
                <xdr:row>167</xdr:row>
                <xdr:rowOff>152400</xdr:rowOff>
              </to>
            </anchor>
          </objectPr>
        </oleObject>
      </mc:Choice>
      <mc:Fallback>
        <oleObject progId="Equation.3" shapeId="3134" r:id="rId50"/>
      </mc:Fallback>
    </mc:AlternateContent>
    <mc:AlternateContent xmlns:mc="http://schemas.openxmlformats.org/markup-compatibility/2006">
      <mc:Choice Requires="x14">
        <oleObject progId="Equation.3" shapeId="3135" r:id="rId52">
          <objectPr defaultSize="0" autoPict="0" r:id="rId53">
            <anchor moveWithCells="1" sizeWithCells="1">
              <from>
                <xdr:col>0</xdr:col>
                <xdr:colOff>114300</xdr:colOff>
                <xdr:row>170</xdr:row>
                <xdr:rowOff>152400</xdr:rowOff>
              </from>
              <to>
                <xdr:col>1</xdr:col>
                <xdr:colOff>304800</xdr:colOff>
                <xdr:row>172</xdr:row>
                <xdr:rowOff>114300</xdr:rowOff>
              </to>
            </anchor>
          </objectPr>
        </oleObject>
      </mc:Choice>
      <mc:Fallback>
        <oleObject progId="Equation.3" shapeId="3135" r:id="rId52"/>
      </mc:Fallback>
    </mc:AlternateContent>
    <mc:AlternateContent xmlns:mc="http://schemas.openxmlformats.org/markup-compatibility/2006">
      <mc:Choice Requires="x14">
        <oleObject progId="Equation.3" shapeId="3136" r:id="rId54">
          <objectPr defaultSize="0" autoPict="0" r:id="rId55">
            <anchor moveWithCells="1" sizeWithCells="1">
              <from>
                <xdr:col>0</xdr:col>
                <xdr:colOff>142875</xdr:colOff>
                <xdr:row>172</xdr:row>
                <xdr:rowOff>85725</xdr:rowOff>
              </from>
              <to>
                <xdr:col>1</xdr:col>
                <xdr:colOff>295275</xdr:colOff>
                <xdr:row>174</xdr:row>
                <xdr:rowOff>133350</xdr:rowOff>
              </to>
            </anchor>
          </objectPr>
        </oleObject>
      </mc:Choice>
      <mc:Fallback>
        <oleObject progId="Equation.3" shapeId="3136" r:id="rId54"/>
      </mc:Fallback>
    </mc:AlternateContent>
    <mc:AlternateContent xmlns:mc="http://schemas.openxmlformats.org/markup-compatibility/2006">
      <mc:Choice Requires="x14">
        <oleObject progId="Equation.3" shapeId="3137" r:id="rId56">
          <objectPr defaultSize="0" autoPict="0" r:id="rId57">
            <anchor moveWithCells="1" sizeWithCells="1">
              <from>
                <xdr:col>0</xdr:col>
                <xdr:colOff>523875</xdr:colOff>
                <xdr:row>189</xdr:row>
                <xdr:rowOff>66675</xdr:rowOff>
              </from>
              <to>
                <xdr:col>2</xdr:col>
                <xdr:colOff>571500</xdr:colOff>
                <xdr:row>191</xdr:row>
                <xdr:rowOff>85725</xdr:rowOff>
              </to>
            </anchor>
          </objectPr>
        </oleObject>
      </mc:Choice>
      <mc:Fallback>
        <oleObject progId="Equation.3" shapeId="3137" r:id="rId5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№ Швеллера" prompt="Выберите № швеллера согласно ГОСТ 8240-97">
          <x14:formula1>
            <xm:f>'Геом. характеристики швеллера'!$A$6:$A$41</xm:f>
          </x14:formula1>
          <xm:sqref>E20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" zoomScaleNormal="100" workbookViewId="0">
      <selection activeCell="U19" sqref="U19"/>
    </sheetView>
  </sheetViews>
  <sheetFormatPr defaultRowHeight="15" x14ac:dyDescent="0.25"/>
  <cols>
    <col min="1" max="1" width="8.140625" customWidth="1"/>
    <col min="2" max="2" width="10" customWidth="1"/>
  </cols>
  <sheetData>
    <row r="1" spans="1:2" x14ac:dyDescent="0.25">
      <c r="A1" s="22" t="s">
        <v>51</v>
      </c>
      <c r="B1" s="23" t="s">
        <v>53</v>
      </c>
    </row>
    <row r="2" spans="1:2" x14ac:dyDescent="0.25">
      <c r="A2" s="22">
        <v>0</v>
      </c>
      <c r="B2" s="22">
        <v>12.5</v>
      </c>
    </row>
    <row r="3" spans="1:2" x14ac:dyDescent="0.25">
      <c r="A3" s="22">
        <v>0.5</v>
      </c>
      <c r="B3" s="22">
        <v>12.2</v>
      </c>
    </row>
    <row r="4" spans="1:2" x14ac:dyDescent="0.25">
      <c r="A4" s="22">
        <v>1</v>
      </c>
      <c r="B4" s="22">
        <v>11.5</v>
      </c>
    </row>
    <row r="5" spans="1:2" x14ac:dyDescent="0.25">
      <c r="A5" s="22">
        <v>1.5</v>
      </c>
      <c r="B5" s="22">
        <v>10.3</v>
      </c>
    </row>
    <row r="6" spans="1:2" x14ac:dyDescent="0.25">
      <c r="A6" s="22">
        <v>2</v>
      </c>
      <c r="B6" s="22">
        <v>9</v>
      </c>
    </row>
    <row r="7" spans="1:2" x14ac:dyDescent="0.25">
      <c r="A7" s="22">
        <v>2.5</v>
      </c>
      <c r="B7" s="22">
        <v>7.7</v>
      </c>
    </row>
    <row r="8" spans="1:2" x14ac:dyDescent="0.25">
      <c r="A8" s="22">
        <v>3</v>
      </c>
      <c r="B8" s="22">
        <v>6.65</v>
      </c>
    </row>
    <row r="9" spans="1:2" x14ac:dyDescent="0.25">
      <c r="A9" s="22">
        <v>3.5</v>
      </c>
      <c r="B9" s="22">
        <v>5.6</v>
      </c>
    </row>
    <row r="10" spans="1:2" x14ac:dyDescent="0.25">
      <c r="A10" s="22">
        <v>4</v>
      </c>
      <c r="B10" s="22">
        <v>4.7</v>
      </c>
    </row>
    <row r="11" spans="1:2" x14ac:dyDescent="0.25">
      <c r="A11" s="22">
        <v>4.5</v>
      </c>
      <c r="B11" s="22">
        <v>4</v>
      </c>
    </row>
    <row r="12" spans="1:2" x14ac:dyDescent="0.25">
      <c r="A12" s="22">
        <v>5</v>
      </c>
      <c r="B12" s="22">
        <v>3.4</v>
      </c>
    </row>
    <row r="13" spans="1:2" x14ac:dyDescent="0.25">
      <c r="A13" s="22">
        <v>5.5</v>
      </c>
      <c r="B13" s="22">
        <v>2.9</v>
      </c>
    </row>
    <row r="14" spans="1:2" x14ac:dyDescent="0.25">
      <c r="A14" s="22">
        <v>6</v>
      </c>
      <c r="B14" s="22">
        <v>2.5</v>
      </c>
    </row>
    <row r="15" spans="1:2" x14ac:dyDescent="0.25">
      <c r="A15" s="22">
        <v>6.5</v>
      </c>
      <c r="B15" s="22">
        <v>2.2000000000000002</v>
      </c>
    </row>
    <row r="16" spans="1:2" x14ac:dyDescent="0.25">
      <c r="A16" s="22">
        <v>7</v>
      </c>
      <c r="B16" s="22">
        <v>1.9</v>
      </c>
    </row>
    <row r="17" spans="1:2" x14ac:dyDescent="0.25">
      <c r="A17" s="22">
        <v>7.5</v>
      </c>
      <c r="B17" s="22">
        <v>1.65</v>
      </c>
    </row>
    <row r="18" spans="1:2" x14ac:dyDescent="0.25">
      <c r="A18" s="22">
        <v>8</v>
      </c>
      <c r="B18" s="22">
        <v>1.45</v>
      </c>
    </row>
    <row r="19" spans="1:2" x14ac:dyDescent="0.25">
      <c r="A19" s="22">
        <v>8.5</v>
      </c>
      <c r="B19" s="22">
        <v>1.3</v>
      </c>
    </row>
    <row r="20" spans="1:2" x14ac:dyDescent="0.25">
      <c r="A20" s="22">
        <v>9</v>
      </c>
      <c r="B20" s="22">
        <v>1.2</v>
      </c>
    </row>
    <row r="21" spans="1:2" x14ac:dyDescent="0.25">
      <c r="A21" s="22">
        <v>9.5</v>
      </c>
      <c r="B21" s="22">
        <v>1.1000000000000001</v>
      </c>
    </row>
    <row r="22" spans="1:2" x14ac:dyDescent="0.25">
      <c r="A22" s="22">
        <v>10</v>
      </c>
      <c r="B22" s="22">
        <v>1</v>
      </c>
    </row>
    <row r="23" spans="1:2" x14ac:dyDescent="0.25">
      <c r="A23" s="22">
        <v>10.5</v>
      </c>
      <c r="B23" s="22">
        <v>0.9</v>
      </c>
    </row>
    <row r="24" spans="1:2" x14ac:dyDescent="0.25">
      <c r="A24" s="22">
        <v>11</v>
      </c>
      <c r="B24" s="22">
        <v>0.8</v>
      </c>
    </row>
    <row r="25" spans="1:2" x14ac:dyDescent="0.25">
      <c r="A25" s="22">
        <v>11.5</v>
      </c>
      <c r="B25" s="22">
        <v>0.73</v>
      </c>
    </row>
    <row r="26" spans="1:2" x14ac:dyDescent="0.25">
      <c r="A26" s="22">
        <v>12</v>
      </c>
      <c r="B26" s="22">
        <v>0.68</v>
      </c>
    </row>
    <row r="27" spans="1:2" x14ac:dyDescent="0.25">
      <c r="A27" s="22">
        <v>13</v>
      </c>
      <c r="B27" s="22">
        <v>0.57999999999999996</v>
      </c>
    </row>
    <row r="28" spans="1:2" x14ac:dyDescent="0.25">
      <c r="A28" s="22">
        <v>14</v>
      </c>
      <c r="B28" s="22">
        <v>0.5</v>
      </c>
    </row>
    <row r="29" spans="1:2" x14ac:dyDescent="0.25">
      <c r="A29" s="22">
        <v>15</v>
      </c>
      <c r="B29" s="22">
        <v>0.43</v>
      </c>
    </row>
    <row r="30" spans="1:2" x14ac:dyDescent="0.25">
      <c r="A30" s="22">
        <v>16</v>
      </c>
      <c r="B30" s="22">
        <v>0.4</v>
      </c>
    </row>
    <row r="31" spans="1:2" x14ac:dyDescent="0.25">
      <c r="A31" s="22">
        <v>17</v>
      </c>
      <c r="B31" s="22">
        <v>0.37</v>
      </c>
    </row>
    <row r="32" spans="1:2" x14ac:dyDescent="0.25">
      <c r="A32" s="22">
        <v>18</v>
      </c>
      <c r="B32" s="22">
        <v>0.34</v>
      </c>
    </row>
    <row r="33" spans="1:12" x14ac:dyDescent="0.25">
      <c r="A33" s="22">
        <v>19</v>
      </c>
      <c r="B33" s="22">
        <v>0.32</v>
      </c>
    </row>
    <row r="34" spans="1:12" x14ac:dyDescent="0.25">
      <c r="A34" s="22">
        <v>20</v>
      </c>
      <c r="B34" s="22">
        <v>0.3</v>
      </c>
    </row>
    <row r="35" spans="1:12" x14ac:dyDescent="0.25">
      <c r="A35" s="24"/>
    </row>
    <row r="36" spans="1:12" x14ac:dyDescent="0.25">
      <c r="L36" t="s">
        <v>54</v>
      </c>
    </row>
    <row r="37" spans="1:12" x14ac:dyDescent="0.25">
      <c r="A37" s="22">
        <f>'с учетом бимомента'!E33*'с учетом бимомента'!E12*100</f>
        <v>8.8439999999999994</v>
      </c>
      <c r="B37" s="22">
        <f ca="1">OFFSET($A$1,MATCH(A37,$A$2:$A$34,1),1)+(OFFSET($A$1,MATCH(A37,$A$2:$A$34,1)+1,1)-OFFSET($A$1,MATCH(A37,$A$2:$A$34,1),1))*(A37-OFFSET($A$1,MATCH(A37,$A$2:$A$34,1),0))/10</f>
        <v>1.2965600000000002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Q42" sqref="Q42"/>
    </sheetView>
  </sheetViews>
  <sheetFormatPr defaultRowHeight="15" x14ac:dyDescent="0.25"/>
  <cols>
    <col min="1" max="1" width="16.7109375" customWidth="1"/>
  </cols>
  <sheetData>
    <row r="1" spans="1:17" x14ac:dyDescent="0.25">
      <c r="A1" t="s">
        <v>71</v>
      </c>
    </row>
    <row r="2" spans="1:17" ht="15.75" thickBot="1" x14ac:dyDescent="0.3"/>
    <row r="3" spans="1:17" ht="18" customHeight="1" x14ac:dyDescent="0.25">
      <c r="A3" s="147" t="s">
        <v>168</v>
      </c>
      <c r="B3" s="151" t="s">
        <v>169</v>
      </c>
      <c r="C3" s="151" t="s">
        <v>170</v>
      </c>
      <c r="D3" s="151" t="s">
        <v>171</v>
      </c>
      <c r="E3" s="151" t="s">
        <v>172</v>
      </c>
      <c r="F3" s="34" t="s">
        <v>173</v>
      </c>
      <c r="G3" s="34" t="s">
        <v>174</v>
      </c>
      <c r="H3" s="152" t="s">
        <v>175</v>
      </c>
      <c r="I3" s="152" t="s">
        <v>176</v>
      </c>
      <c r="J3" s="151" t="s">
        <v>177</v>
      </c>
      <c r="K3" s="151"/>
      <c r="L3" s="151"/>
      <c r="M3" s="151"/>
      <c r="N3" s="151"/>
      <c r="O3" s="151"/>
      <c r="P3" s="151"/>
      <c r="Q3" s="143" t="s">
        <v>180</v>
      </c>
    </row>
    <row r="4" spans="1:17" x14ac:dyDescent="0.25">
      <c r="A4" s="148"/>
      <c r="B4" s="150"/>
      <c r="C4" s="150"/>
      <c r="D4" s="150"/>
      <c r="E4" s="150"/>
      <c r="F4" s="150" t="s">
        <v>181</v>
      </c>
      <c r="G4" s="150"/>
      <c r="H4" s="153"/>
      <c r="I4" s="153"/>
      <c r="J4" s="150" t="s">
        <v>178</v>
      </c>
      <c r="K4" s="150"/>
      <c r="L4" s="150"/>
      <c r="M4" s="150"/>
      <c r="N4" s="150" t="s">
        <v>179</v>
      </c>
      <c r="O4" s="150"/>
      <c r="P4" s="150"/>
      <c r="Q4" s="144"/>
    </row>
    <row r="5" spans="1:17" ht="16.5" thickBot="1" x14ac:dyDescent="0.3">
      <c r="A5" s="149"/>
      <c r="B5" s="146" t="s">
        <v>61</v>
      </c>
      <c r="C5" s="146"/>
      <c r="D5" s="146"/>
      <c r="E5" s="146"/>
      <c r="F5" s="146"/>
      <c r="G5" s="146"/>
      <c r="H5" s="154"/>
      <c r="I5" s="154"/>
      <c r="J5" s="35" t="s">
        <v>182</v>
      </c>
      <c r="K5" s="35" t="s">
        <v>183</v>
      </c>
      <c r="L5" s="35" t="s">
        <v>184</v>
      </c>
      <c r="M5" s="35" t="s">
        <v>185</v>
      </c>
      <c r="N5" s="35" t="s">
        <v>186</v>
      </c>
      <c r="O5" s="35" t="s">
        <v>187</v>
      </c>
      <c r="P5" s="36" t="s">
        <v>188</v>
      </c>
      <c r="Q5" s="145"/>
    </row>
    <row r="6" spans="1:17" x14ac:dyDescent="0.25">
      <c r="A6" s="29" t="s">
        <v>72</v>
      </c>
      <c r="B6" s="32">
        <v>50</v>
      </c>
      <c r="C6" s="32">
        <v>32</v>
      </c>
      <c r="D6" s="32">
        <v>4.4000000000000004</v>
      </c>
      <c r="E6" s="32">
        <v>7</v>
      </c>
      <c r="F6" s="32" t="s">
        <v>91</v>
      </c>
      <c r="G6" s="32" t="s">
        <v>92</v>
      </c>
      <c r="H6" s="32" t="s">
        <v>93</v>
      </c>
      <c r="I6" s="32">
        <v>4.84</v>
      </c>
      <c r="J6" s="32">
        <v>22.8</v>
      </c>
      <c r="K6" s="32">
        <v>9.1</v>
      </c>
      <c r="L6" s="32" t="s">
        <v>94</v>
      </c>
      <c r="M6" s="32">
        <v>5.59</v>
      </c>
      <c r="N6" s="32">
        <v>5.61</v>
      </c>
      <c r="O6" s="32">
        <v>2.75</v>
      </c>
      <c r="P6" s="32" t="s">
        <v>96</v>
      </c>
      <c r="Q6" s="32">
        <v>1.1599999999999999</v>
      </c>
    </row>
    <row r="7" spans="1:17" x14ac:dyDescent="0.25">
      <c r="A7" s="29" t="s">
        <v>73</v>
      </c>
      <c r="B7" s="32">
        <v>65</v>
      </c>
      <c r="C7" s="32">
        <v>36</v>
      </c>
      <c r="D7" s="32">
        <v>4.4000000000000004</v>
      </c>
      <c r="E7" s="32">
        <v>7.2</v>
      </c>
      <c r="F7" s="32" t="s">
        <v>91</v>
      </c>
      <c r="G7" s="32" t="s">
        <v>92</v>
      </c>
      <c r="H7" s="32" t="s">
        <v>97</v>
      </c>
      <c r="I7" s="32">
        <v>5.9</v>
      </c>
      <c r="J7" s="32">
        <v>48.6</v>
      </c>
      <c r="K7" s="32">
        <v>15</v>
      </c>
      <c r="L7" s="32" t="s">
        <v>99</v>
      </c>
      <c r="M7" s="32">
        <v>9</v>
      </c>
      <c r="N7" s="32">
        <v>8.6999999999999993</v>
      </c>
      <c r="O7" s="32">
        <v>3.68</v>
      </c>
      <c r="P7" s="32" t="s">
        <v>100</v>
      </c>
      <c r="Q7" s="32">
        <v>1.24</v>
      </c>
    </row>
    <row r="8" spans="1:17" x14ac:dyDescent="0.25">
      <c r="A8" s="29" t="s">
        <v>74</v>
      </c>
      <c r="B8" s="32">
        <v>80</v>
      </c>
      <c r="C8" s="32">
        <v>40</v>
      </c>
      <c r="D8" s="32">
        <v>4.5</v>
      </c>
      <c r="E8" s="32">
        <v>7.4</v>
      </c>
      <c r="F8" s="32" t="s">
        <v>103</v>
      </c>
      <c r="G8" s="32" t="s">
        <v>92</v>
      </c>
      <c r="H8" s="32" t="s">
        <v>104</v>
      </c>
      <c r="I8" s="32">
        <v>7.05</v>
      </c>
      <c r="J8" s="32">
        <v>89.4</v>
      </c>
      <c r="K8" s="32">
        <v>22.4</v>
      </c>
      <c r="L8" s="32" t="s">
        <v>105</v>
      </c>
      <c r="M8" s="32">
        <v>13.3</v>
      </c>
      <c r="N8" s="32">
        <v>12.8</v>
      </c>
      <c r="O8" s="32">
        <v>4.75</v>
      </c>
      <c r="P8" s="32" t="s">
        <v>106</v>
      </c>
      <c r="Q8" s="32">
        <v>1.31</v>
      </c>
    </row>
    <row r="9" spans="1:17" x14ac:dyDescent="0.25">
      <c r="A9" s="29" t="s">
        <v>75</v>
      </c>
      <c r="B9" s="32">
        <v>100</v>
      </c>
      <c r="C9" s="32">
        <v>46</v>
      </c>
      <c r="D9" s="32">
        <v>4.5</v>
      </c>
      <c r="E9" s="32">
        <v>7.6</v>
      </c>
      <c r="F9" s="32" t="s">
        <v>90</v>
      </c>
      <c r="G9" s="32" t="s">
        <v>107</v>
      </c>
      <c r="H9" s="32" t="s">
        <v>108</v>
      </c>
      <c r="I9" s="32">
        <v>5.59</v>
      </c>
      <c r="J9" s="32">
        <v>174</v>
      </c>
      <c r="K9" s="32">
        <v>34.799999999999997</v>
      </c>
      <c r="L9" s="32" t="s">
        <v>109</v>
      </c>
      <c r="M9" s="32">
        <v>20.399999999999999</v>
      </c>
      <c r="N9" s="32">
        <v>20.399999999999999</v>
      </c>
      <c r="O9" s="32">
        <v>6.46</v>
      </c>
      <c r="P9" s="32" t="s">
        <v>110</v>
      </c>
      <c r="Q9" s="32">
        <v>1.44</v>
      </c>
    </row>
    <row r="10" spans="1:17" x14ac:dyDescent="0.25">
      <c r="A10" s="29" t="s">
        <v>76</v>
      </c>
      <c r="B10" s="32">
        <v>120</v>
      </c>
      <c r="C10" s="32">
        <v>52</v>
      </c>
      <c r="D10" s="32">
        <v>4.8</v>
      </c>
      <c r="E10" s="32">
        <v>7.8</v>
      </c>
      <c r="F10" s="32" t="s">
        <v>112</v>
      </c>
      <c r="G10" s="32" t="s">
        <v>107</v>
      </c>
      <c r="H10" s="32" t="s">
        <v>113</v>
      </c>
      <c r="I10" s="32">
        <v>10.4</v>
      </c>
      <c r="J10" s="32">
        <v>304</v>
      </c>
      <c r="K10" s="32">
        <v>50.6</v>
      </c>
      <c r="L10" s="32" t="s">
        <v>114</v>
      </c>
      <c r="M10" s="32">
        <v>29.6</v>
      </c>
      <c r="N10" s="32">
        <v>31.2</v>
      </c>
      <c r="O10" s="32">
        <v>8.52</v>
      </c>
      <c r="P10" s="32" t="s">
        <v>115</v>
      </c>
      <c r="Q10" s="32">
        <v>1.54</v>
      </c>
    </row>
    <row r="11" spans="1:17" x14ac:dyDescent="0.25">
      <c r="A11" s="29" t="s">
        <v>77</v>
      </c>
      <c r="B11" s="32">
        <v>140</v>
      </c>
      <c r="C11" s="32">
        <v>58</v>
      </c>
      <c r="D11" s="32">
        <v>4.9000000000000004</v>
      </c>
      <c r="E11" s="32">
        <v>8.1</v>
      </c>
      <c r="F11" s="32" t="s">
        <v>116</v>
      </c>
      <c r="G11" s="32" t="s">
        <v>107</v>
      </c>
      <c r="H11" s="32" t="s">
        <v>117</v>
      </c>
      <c r="I11" s="32">
        <v>12.3</v>
      </c>
      <c r="J11" s="32">
        <v>491</v>
      </c>
      <c r="K11" s="32">
        <v>70.2</v>
      </c>
      <c r="L11" s="32" t="s">
        <v>118</v>
      </c>
      <c r="M11" s="32">
        <v>40.799999999999997</v>
      </c>
      <c r="N11" s="32">
        <v>45.4</v>
      </c>
      <c r="O11" s="32">
        <v>11</v>
      </c>
      <c r="P11" s="32" t="s">
        <v>119</v>
      </c>
      <c r="Q11" s="32">
        <v>1.67</v>
      </c>
    </row>
    <row r="12" spans="1:17" x14ac:dyDescent="0.25">
      <c r="A12" s="29" t="s">
        <v>78</v>
      </c>
      <c r="B12" s="32">
        <v>160</v>
      </c>
      <c r="C12" s="32">
        <v>64</v>
      </c>
      <c r="D12" s="32">
        <v>5</v>
      </c>
      <c r="E12" s="32">
        <v>8.4</v>
      </c>
      <c r="F12" s="32" t="s">
        <v>121</v>
      </c>
      <c r="G12" s="32" t="s">
        <v>122</v>
      </c>
      <c r="H12" s="32" t="s">
        <v>123</v>
      </c>
      <c r="I12" s="32">
        <v>14.2</v>
      </c>
      <c r="J12" s="32">
        <v>747</v>
      </c>
      <c r="K12" s="32">
        <v>93.4</v>
      </c>
      <c r="L12" s="32" t="s">
        <v>125</v>
      </c>
      <c r="M12" s="32">
        <v>54.1</v>
      </c>
      <c r="N12" s="32">
        <v>63.3</v>
      </c>
      <c r="O12" s="32">
        <v>13.8</v>
      </c>
      <c r="P12" s="32" t="s">
        <v>126</v>
      </c>
      <c r="Q12" s="32">
        <v>1.8</v>
      </c>
    </row>
    <row r="13" spans="1:17" x14ac:dyDescent="0.25">
      <c r="A13" s="29" t="s">
        <v>79</v>
      </c>
      <c r="B13" s="32">
        <v>160</v>
      </c>
      <c r="C13" s="32">
        <v>68</v>
      </c>
      <c r="D13" s="32">
        <v>5</v>
      </c>
      <c r="E13" s="32">
        <v>9</v>
      </c>
      <c r="F13" s="32" t="s">
        <v>121</v>
      </c>
      <c r="G13" s="32" t="s">
        <v>122</v>
      </c>
      <c r="H13" s="32" t="s">
        <v>128</v>
      </c>
      <c r="I13" s="32">
        <v>15.3</v>
      </c>
      <c r="J13" s="32">
        <v>823</v>
      </c>
      <c r="K13" s="32">
        <v>103</v>
      </c>
      <c r="L13" s="32" t="s">
        <v>129</v>
      </c>
      <c r="M13" s="32">
        <v>59.4</v>
      </c>
      <c r="N13" s="32">
        <v>78.8</v>
      </c>
      <c r="O13" s="32">
        <v>16.399999999999999</v>
      </c>
      <c r="P13" s="32" t="s">
        <v>130</v>
      </c>
      <c r="Q13" s="32">
        <v>2</v>
      </c>
    </row>
    <row r="14" spans="1:17" x14ac:dyDescent="0.25">
      <c r="A14" s="29" t="s">
        <v>80</v>
      </c>
      <c r="B14" s="32">
        <v>180</v>
      </c>
      <c r="C14" s="32">
        <v>70</v>
      </c>
      <c r="D14" s="32">
        <v>5.0999999999999996</v>
      </c>
      <c r="E14" s="32">
        <v>8.6999999999999993</v>
      </c>
      <c r="F14" s="32" t="s">
        <v>127</v>
      </c>
      <c r="G14" s="32" t="s">
        <v>122</v>
      </c>
      <c r="H14" s="32" t="s">
        <v>132</v>
      </c>
      <c r="I14" s="32">
        <v>16.3</v>
      </c>
      <c r="J14" s="32">
        <v>1090</v>
      </c>
      <c r="K14" s="32">
        <v>121</v>
      </c>
      <c r="L14" s="32" t="s">
        <v>133</v>
      </c>
      <c r="M14" s="32">
        <v>69.8</v>
      </c>
      <c r="N14" s="32">
        <v>86</v>
      </c>
      <c r="O14" s="32">
        <v>17</v>
      </c>
      <c r="P14" s="32" t="s">
        <v>134</v>
      </c>
      <c r="Q14" s="32">
        <v>1.94</v>
      </c>
    </row>
    <row r="15" spans="1:17" x14ac:dyDescent="0.25">
      <c r="A15" s="29" t="s">
        <v>81</v>
      </c>
      <c r="B15" s="32">
        <v>180</v>
      </c>
      <c r="C15" s="32">
        <v>74</v>
      </c>
      <c r="D15" s="32">
        <v>5.0999999999999996</v>
      </c>
      <c r="E15" s="32">
        <v>9.3000000000000007</v>
      </c>
      <c r="F15" s="32" t="s">
        <v>127</v>
      </c>
      <c r="G15" s="32" t="s">
        <v>122</v>
      </c>
      <c r="H15" s="32" t="s">
        <v>135</v>
      </c>
      <c r="I15" s="32">
        <v>17.399999999999999</v>
      </c>
      <c r="J15" s="32">
        <v>1190</v>
      </c>
      <c r="K15" s="32">
        <v>132</v>
      </c>
      <c r="L15" s="32" t="s">
        <v>136</v>
      </c>
      <c r="M15" s="32">
        <v>76.099999999999994</v>
      </c>
      <c r="N15" s="32">
        <v>105</v>
      </c>
      <c r="O15" s="32">
        <v>20</v>
      </c>
      <c r="P15" s="32" t="s">
        <v>137</v>
      </c>
      <c r="Q15" s="32">
        <v>2.13</v>
      </c>
    </row>
    <row r="16" spans="1:17" x14ac:dyDescent="0.25">
      <c r="A16" s="29" t="s">
        <v>82</v>
      </c>
      <c r="B16" s="32">
        <v>200</v>
      </c>
      <c r="C16" s="32">
        <v>76</v>
      </c>
      <c r="D16" s="32">
        <v>5.2</v>
      </c>
      <c r="E16" s="32">
        <v>9</v>
      </c>
      <c r="F16" s="32" t="s">
        <v>138</v>
      </c>
      <c r="G16" s="32" t="s">
        <v>139</v>
      </c>
      <c r="H16" s="32" t="s">
        <v>140</v>
      </c>
      <c r="I16" s="32">
        <v>18.399999999999999</v>
      </c>
      <c r="J16" s="32">
        <v>1520</v>
      </c>
      <c r="K16" s="32">
        <v>152</v>
      </c>
      <c r="L16" s="32" t="s">
        <v>141</v>
      </c>
      <c r="M16" s="32">
        <v>87.8</v>
      </c>
      <c r="N16" s="32">
        <v>113</v>
      </c>
      <c r="O16" s="32">
        <v>20.5</v>
      </c>
      <c r="P16" s="32" t="s">
        <v>142</v>
      </c>
      <c r="Q16" s="32">
        <v>2.0699999999999998</v>
      </c>
    </row>
    <row r="17" spans="1:17" x14ac:dyDescent="0.25">
      <c r="A17" s="29" t="s">
        <v>83</v>
      </c>
      <c r="B17" s="32">
        <v>220</v>
      </c>
      <c r="C17" s="32">
        <v>82</v>
      </c>
      <c r="D17" s="32">
        <v>5.4</v>
      </c>
      <c r="E17" s="32">
        <v>9.5</v>
      </c>
      <c r="F17" s="32" t="s">
        <v>143</v>
      </c>
      <c r="G17" s="32" t="s">
        <v>139</v>
      </c>
      <c r="H17" s="32" t="s">
        <v>144</v>
      </c>
      <c r="I17" s="32">
        <v>21</v>
      </c>
      <c r="J17" s="32">
        <v>2110</v>
      </c>
      <c r="K17" s="32">
        <v>192</v>
      </c>
      <c r="L17" s="32" t="s">
        <v>145</v>
      </c>
      <c r="M17" s="32">
        <v>110</v>
      </c>
      <c r="N17" s="32">
        <v>151</v>
      </c>
      <c r="O17" s="32">
        <v>25.1</v>
      </c>
      <c r="P17" s="32" t="s">
        <v>146</v>
      </c>
      <c r="Q17" s="32">
        <v>2.21</v>
      </c>
    </row>
    <row r="18" spans="1:17" x14ac:dyDescent="0.25">
      <c r="A18" s="29" t="s">
        <v>84</v>
      </c>
      <c r="B18" s="32">
        <v>240</v>
      </c>
      <c r="C18" s="32">
        <v>90</v>
      </c>
      <c r="D18" s="32">
        <v>5.6</v>
      </c>
      <c r="E18" s="32">
        <v>10</v>
      </c>
      <c r="F18" s="32" t="s">
        <v>147</v>
      </c>
      <c r="G18" s="32" t="s">
        <v>139</v>
      </c>
      <c r="H18" s="32" t="s">
        <v>148</v>
      </c>
      <c r="I18" s="32">
        <v>24</v>
      </c>
      <c r="J18" s="32">
        <v>2900</v>
      </c>
      <c r="K18" s="32">
        <v>242</v>
      </c>
      <c r="L18" s="32" t="s">
        <v>149</v>
      </c>
      <c r="M18" s="32">
        <v>139</v>
      </c>
      <c r="N18" s="32">
        <v>208</v>
      </c>
      <c r="O18" s="32">
        <v>31.6</v>
      </c>
      <c r="P18" s="32" t="s">
        <v>150</v>
      </c>
      <c r="Q18" s="32">
        <v>2.42</v>
      </c>
    </row>
    <row r="19" spans="1:17" x14ac:dyDescent="0.25">
      <c r="A19" s="29" t="s">
        <v>85</v>
      </c>
      <c r="B19" s="32">
        <v>270</v>
      </c>
      <c r="C19" s="32">
        <v>95</v>
      </c>
      <c r="D19" s="32">
        <v>6</v>
      </c>
      <c r="E19" s="32">
        <v>10.5</v>
      </c>
      <c r="F19" s="32" t="s">
        <v>151</v>
      </c>
      <c r="G19" s="32" t="s">
        <v>102</v>
      </c>
      <c r="H19" s="32" t="s">
        <v>152</v>
      </c>
      <c r="I19" s="32">
        <v>27.7</v>
      </c>
      <c r="J19" s="32">
        <v>4160</v>
      </c>
      <c r="K19" s="32">
        <v>308</v>
      </c>
      <c r="L19" s="32" t="s">
        <v>108</v>
      </c>
      <c r="M19" s="32">
        <v>178</v>
      </c>
      <c r="N19" s="32">
        <v>262</v>
      </c>
      <c r="O19" s="32">
        <v>37.299999999999997</v>
      </c>
      <c r="P19" s="32" t="s">
        <v>153</v>
      </c>
      <c r="Q19" s="32">
        <v>2.4700000000000002</v>
      </c>
    </row>
    <row r="20" spans="1:17" x14ac:dyDescent="0.25">
      <c r="A20" s="29" t="s">
        <v>86</v>
      </c>
      <c r="B20" s="32">
        <v>300</v>
      </c>
      <c r="C20" s="32">
        <v>100</v>
      </c>
      <c r="D20" s="32">
        <v>6.5</v>
      </c>
      <c r="E20" s="32">
        <v>11</v>
      </c>
      <c r="F20" s="32" t="s">
        <v>154</v>
      </c>
      <c r="G20" s="32" t="s">
        <v>120</v>
      </c>
      <c r="H20" s="32" t="s">
        <v>155</v>
      </c>
      <c r="I20" s="32">
        <v>31.8</v>
      </c>
      <c r="J20" s="32">
        <v>5810</v>
      </c>
      <c r="K20" s="32">
        <v>387</v>
      </c>
      <c r="L20" s="32" t="s">
        <v>156</v>
      </c>
      <c r="M20" s="32">
        <v>224</v>
      </c>
      <c r="N20" s="32">
        <v>327</v>
      </c>
      <c r="O20" s="32">
        <v>43.6</v>
      </c>
      <c r="P20" s="32" t="s">
        <v>157</v>
      </c>
      <c r="Q20" s="32">
        <v>2.52</v>
      </c>
    </row>
    <row r="21" spans="1:17" x14ac:dyDescent="0.25">
      <c r="A21" s="29" t="s">
        <v>87</v>
      </c>
      <c r="B21" s="32">
        <v>330</v>
      </c>
      <c r="C21" s="32">
        <v>105</v>
      </c>
      <c r="D21" s="32">
        <v>7</v>
      </c>
      <c r="E21" s="32">
        <v>11.7</v>
      </c>
      <c r="F21" s="32" t="s">
        <v>158</v>
      </c>
      <c r="G21" s="32" t="s">
        <v>120</v>
      </c>
      <c r="H21" s="32" t="s">
        <v>159</v>
      </c>
      <c r="I21" s="32">
        <v>36.5</v>
      </c>
      <c r="J21" s="32">
        <v>7980</v>
      </c>
      <c r="K21" s="32">
        <v>484</v>
      </c>
      <c r="L21" s="32" t="s">
        <v>160</v>
      </c>
      <c r="M21" s="32">
        <v>281</v>
      </c>
      <c r="N21" s="32">
        <v>410</v>
      </c>
      <c r="O21" s="32">
        <v>51.8</v>
      </c>
      <c r="P21" s="32" t="s">
        <v>161</v>
      </c>
      <c r="Q21" s="32">
        <v>2.59</v>
      </c>
    </row>
    <row r="22" spans="1:17" x14ac:dyDescent="0.25">
      <c r="A22" s="29" t="s">
        <v>88</v>
      </c>
      <c r="B22" s="32">
        <v>360</v>
      </c>
      <c r="C22" s="32">
        <v>110</v>
      </c>
      <c r="D22" s="32">
        <v>7.5</v>
      </c>
      <c r="E22" s="32">
        <v>12.6</v>
      </c>
      <c r="F22" s="32" t="s">
        <v>162</v>
      </c>
      <c r="G22" s="32" t="s">
        <v>91</v>
      </c>
      <c r="H22" s="32" t="s">
        <v>163</v>
      </c>
      <c r="I22" s="32">
        <v>41.9</v>
      </c>
      <c r="J22" s="32">
        <v>10820</v>
      </c>
      <c r="K22" s="32">
        <v>601</v>
      </c>
      <c r="L22" s="32" t="s">
        <v>124</v>
      </c>
      <c r="M22" s="32">
        <v>350</v>
      </c>
      <c r="N22" s="32">
        <v>513</v>
      </c>
      <c r="O22" s="32">
        <v>61.7</v>
      </c>
      <c r="P22" s="32" t="s">
        <v>164</v>
      </c>
      <c r="Q22" s="32">
        <v>2.68</v>
      </c>
    </row>
    <row r="23" spans="1:17" ht="15.75" thickBot="1" x14ac:dyDescent="0.3">
      <c r="A23" s="29" t="s">
        <v>89</v>
      </c>
      <c r="B23" s="32">
        <v>400</v>
      </c>
      <c r="C23" s="32">
        <v>115</v>
      </c>
      <c r="D23" s="32">
        <v>8</v>
      </c>
      <c r="E23" s="32">
        <v>13.5</v>
      </c>
      <c r="F23" s="32" t="s">
        <v>98</v>
      </c>
      <c r="G23" s="32" t="s">
        <v>91</v>
      </c>
      <c r="H23" s="32" t="s">
        <v>165</v>
      </c>
      <c r="I23" s="32">
        <v>48.3</v>
      </c>
      <c r="J23" s="32">
        <v>15220</v>
      </c>
      <c r="K23" s="32">
        <v>761</v>
      </c>
      <c r="L23" s="32" t="s">
        <v>166</v>
      </c>
      <c r="M23" s="32">
        <v>444</v>
      </c>
      <c r="N23" s="32">
        <v>642</v>
      </c>
      <c r="O23" s="32">
        <v>73.400000000000006</v>
      </c>
      <c r="P23" s="32" t="s">
        <v>167</v>
      </c>
      <c r="Q23" s="32">
        <v>2.75</v>
      </c>
    </row>
    <row r="24" spans="1:17" x14ac:dyDescent="0.25">
      <c r="A24" s="28" t="s">
        <v>189</v>
      </c>
      <c r="B24" s="31">
        <v>50</v>
      </c>
      <c r="C24" s="31">
        <v>32</v>
      </c>
      <c r="D24" s="31">
        <v>4.4000000000000004</v>
      </c>
      <c r="E24" s="31">
        <v>7</v>
      </c>
      <c r="F24" s="31" t="s">
        <v>91</v>
      </c>
      <c r="G24" s="31" t="s">
        <v>122</v>
      </c>
      <c r="H24" s="31" t="s">
        <v>93</v>
      </c>
      <c r="I24" s="31">
        <v>4.84</v>
      </c>
      <c r="J24" s="31">
        <v>22.8</v>
      </c>
      <c r="K24" s="31">
        <v>9.1</v>
      </c>
      <c r="L24" s="31" t="s">
        <v>94</v>
      </c>
      <c r="M24" s="31">
        <v>5.61</v>
      </c>
      <c r="N24" s="31">
        <v>5.95</v>
      </c>
      <c r="O24" s="31">
        <v>2.99</v>
      </c>
      <c r="P24" s="31" t="s">
        <v>191</v>
      </c>
      <c r="Q24" s="31">
        <v>1.21</v>
      </c>
    </row>
    <row r="25" spans="1:17" x14ac:dyDescent="0.25">
      <c r="A25" s="29" t="s">
        <v>192</v>
      </c>
      <c r="B25" s="32">
        <v>65</v>
      </c>
      <c r="C25" s="32">
        <v>36</v>
      </c>
      <c r="D25" s="32">
        <v>4.4000000000000004</v>
      </c>
      <c r="E25" s="32">
        <v>7.2</v>
      </c>
      <c r="F25" s="32" t="s">
        <v>91</v>
      </c>
      <c r="G25" s="32" t="s">
        <v>122</v>
      </c>
      <c r="H25" s="32" t="s">
        <v>97</v>
      </c>
      <c r="I25" s="32">
        <v>5.9</v>
      </c>
      <c r="J25" s="32">
        <v>48.8</v>
      </c>
      <c r="K25" s="32">
        <v>15</v>
      </c>
      <c r="L25" s="32" t="s">
        <v>193</v>
      </c>
      <c r="M25" s="32">
        <v>9.02</v>
      </c>
      <c r="N25" s="32">
        <v>9.35</v>
      </c>
      <c r="O25" s="32">
        <v>4.0599999999999996</v>
      </c>
      <c r="P25" s="32" t="s">
        <v>194</v>
      </c>
      <c r="Q25" s="32">
        <v>1.29</v>
      </c>
    </row>
    <row r="26" spans="1:17" x14ac:dyDescent="0.25">
      <c r="A26" s="29" t="s">
        <v>195</v>
      </c>
      <c r="B26" s="32">
        <v>80</v>
      </c>
      <c r="C26" s="32">
        <v>40</v>
      </c>
      <c r="D26" s="32">
        <v>4.5</v>
      </c>
      <c r="E26" s="32">
        <v>7.4</v>
      </c>
      <c r="F26" s="32" t="s">
        <v>103</v>
      </c>
      <c r="G26" s="32" t="s">
        <v>122</v>
      </c>
      <c r="H26" s="32" t="s">
        <v>104</v>
      </c>
      <c r="I26" s="32">
        <v>7.05</v>
      </c>
      <c r="J26" s="32">
        <v>89.8</v>
      </c>
      <c r="K26" s="32">
        <v>22.5</v>
      </c>
      <c r="L26" s="32" t="s">
        <v>105</v>
      </c>
      <c r="M26" s="32">
        <v>13.3</v>
      </c>
      <c r="N26" s="32">
        <v>13.9</v>
      </c>
      <c r="O26" s="32">
        <v>3.31</v>
      </c>
      <c r="P26" s="32" t="s">
        <v>101</v>
      </c>
      <c r="Q26" s="32">
        <v>1.38</v>
      </c>
    </row>
    <row r="27" spans="1:17" x14ac:dyDescent="0.25">
      <c r="A27" s="29" t="s">
        <v>196</v>
      </c>
      <c r="B27" s="32">
        <v>100</v>
      </c>
      <c r="C27" s="32">
        <v>46</v>
      </c>
      <c r="D27" s="32">
        <v>4.5</v>
      </c>
      <c r="E27" s="32">
        <v>7.6</v>
      </c>
      <c r="F27" s="32" t="s">
        <v>90</v>
      </c>
      <c r="G27" s="32" t="s">
        <v>139</v>
      </c>
      <c r="H27" s="32" t="s">
        <v>108</v>
      </c>
      <c r="I27" s="32">
        <v>8.59</v>
      </c>
      <c r="J27" s="32">
        <v>175</v>
      </c>
      <c r="K27" s="32">
        <v>34.9</v>
      </c>
      <c r="L27" s="32" t="s">
        <v>109</v>
      </c>
      <c r="M27" s="32">
        <v>20.5</v>
      </c>
      <c r="N27" s="32">
        <v>22.6</v>
      </c>
      <c r="O27" s="32">
        <v>7.37</v>
      </c>
      <c r="P27" s="32" t="s">
        <v>111</v>
      </c>
      <c r="Q27" s="32">
        <v>1.53</v>
      </c>
    </row>
    <row r="28" spans="1:17" x14ac:dyDescent="0.25">
      <c r="A28" s="29" t="s">
        <v>197</v>
      </c>
      <c r="B28" s="32">
        <v>120</v>
      </c>
      <c r="C28" s="32">
        <v>52</v>
      </c>
      <c r="D28" s="32">
        <v>4.8</v>
      </c>
      <c r="E28" s="32">
        <v>7.8</v>
      </c>
      <c r="F28" s="32" t="s">
        <v>112</v>
      </c>
      <c r="G28" s="32" t="s">
        <v>102</v>
      </c>
      <c r="H28" s="32" t="s">
        <v>113</v>
      </c>
      <c r="I28" s="32">
        <v>10.4</v>
      </c>
      <c r="J28" s="32">
        <v>305</v>
      </c>
      <c r="K28" s="32">
        <v>50.8</v>
      </c>
      <c r="L28" s="32" t="s">
        <v>198</v>
      </c>
      <c r="M28" s="32">
        <v>29.7</v>
      </c>
      <c r="N28" s="32">
        <v>34.9</v>
      </c>
      <c r="O28" s="32">
        <v>9.84</v>
      </c>
      <c r="P28" s="32" t="s">
        <v>199</v>
      </c>
      <c r="Q28" s="32">
        <v>1.66</v>
      </c>
    </row>
    <row r="29" spans="1:17" x14ac:dyDescent="0.25">
      <c r="A29" s="29" t="s">
        <v>200</v>
      </c>
      <c r="B29" s="32">
        <v>140</v>
      </c>
      <c r="C29" s="32">
        <v>58</v>
      </c>
      <c r="D29" s="32">
        <v>4.9000000000000004</v>
      </c>
      <c r="E29" s="32">
        <v>8.1</v>
      </c>
      <c r="F29" s="32" t="s">
        <v>116</v>
      </c>
      <c r="G29" s="32" t="s">
        <v>102</v>
      </c>
      <c r="H29" s="32" t="s">
        <v>117</v>
      </c>
      <c r="I29" s="32">
        <v>12.3</v>
      </c>
      <c r="J29" s="32">
        <v>493</v>
      </c>
      <c r="K29" s="32">
        <v>70.400000000000006</v>
      </c>
      <c r="L29" s="32" t="s">
        <v>95</v>
      </c>
      <c r="M29" s="32">
        <v>40.9</v>
      </c>
      <c r="N29" s="32">
        <v>51.5</v>
      </c>
      <c r="O29" s="32">
        <v>12.9</v>
      </c>
      <c r="P29" s="32" t="s">
        <v>201</v>
      </c>
      <c r="Q29" s="32">
        <v>1.82</v>
      </c>
    </row>
    <row r="30" spans="1:17" x14ac:dyDescent="0.25">
      <c r="A30" s="29" t="s">
        <v>202</v>
      </c>
      <c r="B30" s="32">
        <v>160</v>
      </c>
      <c r="C30" s="32">
        <v>64</v>
      </c>
      <c r="D30" s="32">
        <v>5</v>
      </c>
      <c r="E30" s="32">
        <v>8.4</v>
      </c>
      <c r="F30" s="32" t="s">
        <v>121</v>
      </c>
      <c r="G30" s="32" t="s">
        <v>120</v>
      </c>
      <c r="H30" s="32" t="s">
        <v>123</v>
      </c>
      <c r="I30" s="32">
        <v>14.2</v>
      </c>
      <c r="J30" s="32">
        <v>750</v>
      </c>
      <c r="K30" s="32">
        <v>93.8</v>
      </c>
      <c r="L30" s="32" t="s">
        <v>203</v>
      </c>
      <c r="M30" s="32">
        <v>54.3</v>
      </c>
      <c r="N30" s="32">
        <v>72.8</v>
      </c>
      <c r="O30" s="32">
        <v>16.399999999999999</v>
      </c>
      <c r="P30" s="32" t="s">
        <v>131</v>
      </c>
      <c r="Q30" s="32">
        <v>1.97</v>
      </c>
    </row>
    <row r="31" spans="1:17" x14ac:dyDescent="0.25">
      <c r="A31" s="29" t="s">
        <v>204</v>
      </c>
      <c r="B31" s="32">
        <v>160</v>
      </c>
      <c r="C31" s="32">
        <v>68</v>
      </c>
      <c r="D31" s="32">
        <v>5</v>
      </c>
      <c r="E31" s="32">
        <v>9</v>
      </c>
      <c r="F31" s="32" t="s">
        <v>121</v>
      </c>
      <c r="G31" s="32" t="s">
        <v>120</v>
      </c>
      <c r="H31" s="32" t="s">
        <v>128</v>
      </c>
      <c r="I31" s="32">
        <v>15.3</v>
      </c>
      <c r="J31" s="32">
        <v>827</v>
      </c>
      <c r="K31" s="32">
        <v>103</v>
      </c>
      <c r="L31" s="32" t="s">
        <v>205</v>
      </c>
      <c r="M31" s="32">
        <v>59.5</v>
      </c>
      <c r="N31" s="32">
        <v>90.5</v>
      </c>
      <c r="O31" s="32">
        <v>19.600000000000001</v>
      </c>
      <c r="P31" s="32" t="s">
        <v>206</v>
      </c>
      <c r="Q31" s="32">
        <v>2.19</v>
      </c>
    </row>
    <row r="32" spans="1:17" x14ac:dyDescent="0.25">
      <c r="A32" s="29" t="s">
        <v>207</v>
      </c>
      <c r="B32" s="32">
        <v>180</v>
      </c>
      <c r="C32" s="32">
        <v>70</v>
      </c>
      <c r="D32" s="32">
        <v>5.0999999999999996</v>
      </c>
      <c r="E32" s="32">
        <v>8.6999999999999993</v>
      </c>
      <c r="F32" s="32" t="s">
        <v>127</v>
      </c>
      <c r="G32" s="32" t="s">
        <v>120</v>
      </c>
      <c r="H32" s="32" t="s">
        <v>132</v>
      </c>
      <c r="I32" s="32">
        <v>16.3</v>
      </c>
      <c r="J32" s="32">
        <v>1090</v>
      </c>
      <c r="K32" s="32">
        <v>121</v>
      </c>
      <c r="L32" s="32" t="s">
        <v>208</v>
      </c>
      <c r="M32" s="32">
        <v>70</v>
      </c>
      <c r="N32" s="32">
        <v>100</v>
      </c>
      <c r="O32" s="32">
        <v>20.6</v>
      </c>
      <c r="P32" s="32" t="s">
        <v>142</v>
      </c>
      <c r="Q32" s="32">
        <v>2.14</v>
      </c>
    </row>
    <row r="33" spans="1:17" x14ac:dyDescent="0.25">
      <c r="A33" s="29" t="s">
        <v>209</v>
      </c>
      <c r="B33" s="32">
        <v>180</v>
      </c>
      <c r="C33" s="32">
        <v>74</v>
      </c>
      <c r="D33" s="32">
        <v>5.0999999999999996</v>
      </c>
      <c r="E33" s="32">
        <v>9.3000000000000007</v>
      </c>
      <c r="F33" s="32" t="s">
        <v>127</v>
      </c>
      <c r="G33" s="32" t="s">
        <v>120</v>
      </c>
      <c r="H33" s="32" t="s">
        <v>135</v>
      </c>
      <c r="I33" s="32">
        <v>17.399999999999999</v>
      </c>
      <c r="J33" s="32">
        <v>1200</v>
      </c>
      <c r="K33" s="32">
        <v>133</v>
      </c>
      <c r="L33" s="32" t="s">
        <v>210</v>
      </c>
      <c r="M33" s="32">
        <v>76.3</v>
      </c>
      <c r="N33" s="32">
        <v>123</v>
      </c>
      <c r="O33" s="32">
        <v>24.3</v>
      </c>
      <c r="P33" s="32" t="s">
        <v>211</v>
      </c>
      <c r="Q33" s="32">
        <v>2.36</v>
      </c>
    </row>
    <row r="34" spans="1:17" x14ac:dyDescent="0.25">
      <c r="A34" s="29" t="s">
        <v>18</v>
      </c>
      <c r="B34" s="32">
        <v>200</v>
      </c>
      <c r="C34" s="32">
        <v>76</v>
      </c>
      <c r="D34" s="32">
        <v>5.2</v>
      </c>
      <c r="E34" s="32">
        <v>9</v>
      </c>
      <c r="F34" s="32" t="s">
        <v>138</v>
      </c>
      <c r="G34" s="32" t="s">
        <v>212</v>
      </c>
      <c r="H34" s="32" t="s">
        <v>140</v>
      </c>
      <c r="I34" s="32">
        <v>18.399999999999999</v>
      </c>
      <c r="J34" s="32">
        <v>1530</v>
      </c>
      <c r="K34" s="32">
        <v>153</v>
      </c>
      <c r="L34" s="32" t="s">
        <v>213</v>
      </c>
      <c r="M34" s="32">
        <v>88</v>
      </c>
      <c r="N34" s="32">
        <v>134</v>
      </c>
      <c r="O34" s="32">
        <v>25.2</v>
      </c>
      <c r="P34" s="32" t="s">
        <v>214</v>
      </c>
      <c r="Q34" s="32">
        <v>2.2999999999999998</v>
      </c>
    </row>
    <row r="35" spans="1:17" x14ac:dyDescent="0.25">
      <c r="A35" s="29" t="s">
        <v>215</v>
      </c>
      <c r="B35" s="32">
        <v>220</v>
      </c>
      <c r="C35" s="32">
        <v>82</v>
      </c>
      <c r="D35" s="32">
        <v>5.4</v>
      </c>
      <c r="E35" s="32">
        <v>9.5</v>
      </c>
      <c r="F35" s="32" t="s">
        <v>143</v>
      </c>
      <c r="G35" s="32" t="s">
        <v>91</v>
      </c>
      <c r="H35" s="32" t="s">
        <v>144</v>
      </c>
      <c r="I35" s="32">
        <v>21</v>
      </c>
      <c r="J35" s="32">
        <v>2120</v>
      </c>
      <c r="K35" s="32">
        <v>193</v>
      </c>
      <c r="L35" s="32" t="s">
        <v>216</v>
      </c>
      <c r="M35" s="32">
        <v>111</v>
      </c>
      <c r="N35" s="32">
        <v>178</v>
      </c>
      <c r="O35" s="32">
        <v>31</v>
      </c>
      <c r="P35" s="32" t="s">
        <v>217</v>
      </c>
      <c r="Q35" s="32">
        <v>2.4700000000000002</v>
      </c>
    </row>
    <row r="36" spans="1:17" x14ac:dyDescent="0.25">
      <c r="A36" s="29" t="s">
        <v>218</v>
      </c>
      <c r="B36" s="32">
        <v>240</v>
      </c>
      <c r="C36" s="32">
        <v>90</v>
      </c>
      <c r="D36" s="32">
        <v>5.6</v>
      </c>
      <c r="E36" s="32">
        <v>10</v>
      </c>
      <c r="F36" s="32" t="s">
        <v>147</v>
      </c>
      <c r="G36" s="32" t="s">
        <v>91</v>
      </c>
      <c r="H36" s="32" t="s">
        <v>148</v>
      </c>
      <c r="I36" s="32">
        <v>24</v>
      </c>
      <c r="J36" s="32">
        <v>2910</v>
      </c>
      <c r="K36" s="32">
        <v>243</v>
      </c>
      <c r="L36" s="32" t="s">
        <v>219</v>
      </c>
      <c r="M36" s="32">
        <v>139</v>
      </c>
      <c r="N36" s="32">
        <v>248</v>
      </c>
      <c r="O36" s="32">
        <v>39.5</v>
      </c>
      <c r="P36" s="32" t="s">
        <v>220</v>
      </c>
      <c r="Q36" s="32">
        <v>2.72</v>
      </c>
    </row>
    <row r="37" spans="1:17" x14ac:dyDescent="0.25">
      <c r="A37" s="29" t="s">
        <v>221</v>
      </c>
      <c r="B37" s="32">
        <v>270</v>
      </c>
      <c r="C37" s="32">
        <v>95</v>
      </c>
      <c r="D37" s="32">
        <v>6</v>
      </c>
      <c r="E37" s="32">
        <v>10.5</v>
      </c>
      <c r="F37" s="32" t="s">
        <v>151</v>
      </c>
      <c r="G37" s="32" t="s">
        <v>103</v>
      </c>
      <c r="H37" s="32" t="s">
        <v>152</v>
      </c>
      <c r="I37" s="32">
        <v>27.7</v>
      </c>
      <c r="J37" s="32">
        <v>4180</v>
      </c>
      <c r="K37" s="32">
        <v>310</v>
      </c>
      <c r="L37" s="32" t="s">
        <v>108</v>
      </c>
      <c r="M37" s="32">
        <v>178</v>
      </c>
      <c r="N37" s="32">
        <v>314</v>
      </c>
      <c r="O37" s="32">
        <v>46.7</v>
      </c>
      <c r="P37" s="32" t="s">
        <v>190</v>
      </c>
      <c r="Q37" s="32">
        <v>2.78</v>
      </c>
    </row>
    <row r="38" spans="1:17" x14ac:dyDescent="0.25">
      <c r="A38" s="29" t="s">
        <v>222</v>
      </c>
      <c r="B38" s="32">
        <v>300</v>
      </c>
      <c r="C38" s="32">
        <v>100</v>
      </c>
      <c r="D38" s="32">
        <v>6.5</v>
      </c>
      <c r="E38" s="32">
        <v>11</v>
      </c>
      <c r="F38" s="32" t="s">
        <v>154</v>
      </c>
      <c r="G38" s="32" t="s">
        <v>90</v>
      </c>
      <c r="H38" s="32" t="s">
        <v>155</v>
      </c>
      <c r="I38" s="32">
        <v>31.8</v>
      </c>
      <c r="J38" s="32">
        <v>5830</v>
      </c>
      <c r="K38" s="32">
        <v>389</v>
      </c>
      <c r="L38" s="32" t="s">
        <v>156</v>
      </c>
      <c r="M38" s="32">
        <v>224</v>
      </c>
      <c r="N38" s="32">
        <v>393</v>
      </c>
      <c r="O38" s="32">
        <v>54.8</v>
      </c>
      <c r="P38" s="32" t="s">
        <v>223</v>
      </c>
      <c r="Q38" s="32">
        <v>2.83</v>
      </c>
    </row>
    <row r="39" spans="1:17" x14ac:dyDescent="0.25">
      <c r="A39" s="29" t="s">
        <v>224</v>
      </c>
      <c r="B39" s="32">
        <v>330</v>
      </c>
      <c r="C39" s="32">
        <v>105</v>
      </c>
      <c r="D39" s="32">
        <v>7</v>
      </c>
      <c r="E39" s="32">
        <v>11.7</v>
      </c>
      <c r="F39" s="32" t="s">
        <v>158</v>
      </c>
      <c r="G39" s="32" t="s">
        <v>112</v>
      </c>
      <c r="H39" s="32" t="s">
        <v>159</v>
      </c>
      <c r="I39" s="32">
        <v>36.5</v>
      </c>
      <c r="J39" s="32">
        <v>8010</v>
      </c>
      <c r="K39" s="32">
        <v>486</v>
      </c>
      <c r="L39" s="32" t="s">
        <v>160</v>
      </c>
      <c r="M39" s="32">
        <v>281</v>
      </c>
      <c r="N39" s="32">
        <v>491</v>
      </c>
      <c r="O39" s="32">
        <v>64.599999999999994</v>
      </c>
      <c r="P39" s="32" t="s">
        <v>225</v>
      </c>
      <c r="Q39" s="32">
        <v>2.9</v>
      </c>
    </row>
    <row r="40" spans="1:17" x14ac:dyDescent="0.25">
      <c r="A40" s="29" t="s">
        <v>226</v>
      </c>
      <c r="B40" s="32">
        <v>360</v>
      </c>
      <c r="C40" s="32">
        <v>110</v>
      </c>
      <c r="D40" s="32">
        <v>7.5</v>
      </c>
      <c r="E40" s="32">
        <v>12.6</v>
      </c>
      <c r="F40" s="32" t="s">
        <v>162</v>
      </c>
      <c r="G40" s="32" t="s">
        <v>121</v>
      </c>
      <c r="H40" s="32" t="s">
        <v>163</v>
      </c>
      <c r="I40" s="32">
        <v>41.9</v>
      </c>
      <c r="J40" s="32">
        <v>10850</v>
      </c>
      <c r="K40" s="32">
        <v>603</v>
      </c>
      <c r="L40" s="32" t="s">
        <v>227</v>
      </c>
      <c r="M40" s="32">
        <v>350</v>
      </c>
      <c r="N40" s="32">
        <v>611</v>
      </c>
      <c r="O40" s="32">
        <v>76.3</v>
      </c>
      <c r="P40" s="32" t="s">
        <v>228</v>
      </c>
      <c r="Q40" s="32">
        <v>2.99</v>
      </c>
    </row>
    <row r="41" spans="1:17" ht="15.75" thickBot="1" x14ac:dyDescent="0.3">
      <c r="A41" s="30" t="s">
        <v>229</v>
      </c>
      <c r="B41" s="33">
        <v>400</v>
      </c>
      <c r="C41" s="33">
        <v>115</v>
      </c>
      <c r="D41" s="33">
        <v>8</v>
      </c>
      <c r="E41" s="33">
        <v>13.5</v>
      </c>
      <c r="F41" s="33" t="s">
        <v>98</v>
      </c>
      <c r="G41" s="33" t="s">
        <v>127</v>
      </c>
      <c r="H41" s="33" t="s">
        <v>165</v>
      </c>
      <c r="I41" s="33">
        <v>48.3</v>
      </c>
      <c r="J41" s="33">
        <v>15260</v>
      </c>
      <c r="K41" s="33">
        <v>763</v>
      </c>
      <c r="L41" s="33" t="s">
        <v>230</v>
      </c>
      <c r="M41" s="33">
        <v>445</v>
      </c>
      <c r="N41" s="33">
        <v>760</v>
      </c>
      <c r="O41" s="33">
        <v>89.9</v>
      </c>
      <c r="P41" s="33" t="s">
        <v>231</v>
      </c>
      <c r="Q41" s="33">
        <v>3.05</v>
      </c>
    </row>
  </sheetData>
  <mergeCells count="13">
    <mergeCell ref="Q3:Q5"/>
    <mergeCell ref="B5:G5"/>
    <mergeCell ref="A3:A5"/>
    <mergeCell ref="F4:G4"/>
    <mergeCell ref="B3:B4"/>
    <mergeCell ref="C3:C4"/>
    <mergeCell ref="D3:D4"/>
    <mergeCell ref="E3:E4"/>
    <mergeCell ref="H3:H5"/>
    <mergeCell ref="I3:I5"/>
    <mergeCell ref="J3:P3"/>
    <mergeCell ref="N4:P4"/>
    <mergeCell ref="J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topLeftCell="A4" workbookViewId="0">
      <selection activeCell="C34" sqref="C34"/>
    </sheetView>
  </sheetViews>
  <sheetFormatPr defaultRowHeight="15" x14ac:dyDescent="0.25"/>
  <cols>
    <col min="1" max="1" width="23.85546875" customWidth="1"/>
    <col min="2" max="2" width="11" style="1" customWidth="1"/>
    <col min="3" max="8" width="9.140625" style="1"/>
    <col min="9" max="9" width="15.42578125" style="1" customWidth="1"/>
    <col min="10" max="12" width="9.140625" style="1"/>
  </cols>
  <sheetData>
    <row r="1" spans="1:12" x14ac:dyDescent="0.25">
      <c r="A1" t="s">
        <v>263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t="s">
        <v>265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5.75" thickBot="1" x14ac:dyDescent="0.3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39" customHeight="1" x14ac:dyDescent="0.25">
      <c r="A4" s="155" t="s">
        <v>55</v>
      </c>
      <c r="B4" s="66" t="s">
        <v>251</v>
      </c>
      <c r="C4" s="66" t="s">
        <v>253</v>
      </c>
      <c r="D4" s="66" t="s">
        <v>254</v>
      </c>
      <c r="E4" s="66" t="s">
        <v>255</v>
      </c>
      <c r="F4" s="66" t="s">
        <v>256</v>
      </c>
      <c r="G4" s="66" t="s">
        <v>257</v>
      </c>
      <c r="H4" s="66" t="s">
        <v>258</v>
      </c>
      <c r="I4" s="67"/>
    </row>
    <row r="5" spans="1:12" ht="23.25" thickBot="1" x14ac:dyDescent="0.35">
      <c r="A5" s="156"/>
      <c r="B5" s="72" t="s">
        <v>252</v>
      </c>
      <c r="C5" s="72" t="s">
        <v>259</v>
      </c>
      <c r="D5" s="73" t="s">
        <v>260</v>
      </c>
      <c r="E5" s="73" t="s">
        <v>260</v>
      </c>
      <c r="F5" s="72" t="s">
        <v>261</v>
      </c>
      <c r="G5" s="72" t="s">
        <v>261</v>
      </c>
      <c r="H5" s="72" t="s">
        <v>261</v>
      </c>
      <c r="I5" s="74" t="s">
        <v>262</v>
      </c>
    </row>
    <row r="6" spans="1:12" ht="18.75" x14ac:dyDescent="0.3">
      <c r="A6" s="39" t="s">
        <v>72</v>
      </c>
      <c r="B6" s="75" t="s">
        <v>264</v>
      </c>
      <c r="C6" s="75" t="s">
        <v>264</v>
      </c>
      <c r="D6" s="75" t="s">
        <v>264</v>
      </c>
      <c r="E6" s="75" t="s">
        <v>264</v>
      </c>
      <c r="F6" s="75" t="s">
        <v>264</v>
      </c>
      <c r="G6" s="75" t="s">
        <v>264</v>
      </c>
      <c r="H6" s="75" t="s">
        <v>264</v>
      </c>
      <c r="I6" s="76" t="s">
        <v>264</v>
      </c>
      <c r="J6" s="59"/>
      <c r="K6" s="59"/>
      <c r="L6" s="59"/>
    </row>
    <row r="7" spans="1:12" ht="18.75" x14ac:dyDescent="0.3">
      <c r="A7" s="40" t="s">
        <v>73</v>
      </c>
      <c r="B7" s="65" t="s">
        <v>264</v>
      </c>
      <c r="C7" s="65" t="s">
        <v>264</v>
      </c>
      <c r="D7" s="65" t="s">
        <v>264</v>
      </c>
      <c r="E7" s="65" t="s">
        <v>264</v>
      </c>
      <c r="F7" s="65" t="s">
        <v>264</v>
      </c>
      <c r="G7" s="65" t="s">
        <v>264</v>
      </c>
      <c r="H7" s="65" t="s">
        <v>264</v>
      </c>
      <c r="I7" s="68" t="s">
        <v>264</v>
      </c>
      <c r="J7" s="59"/>
      <c r="K7" s="59"/>
      <c r="L7" s="59"/>
    </row>
    <row r="8" spans="1:12" ht="18.75" x14ac:dyDescent="0.3">
      <c r="A8" s="40" t="s">
        <v>74</v>
      </c>
      <c r="B8" s="65" t="s">
        <v>264</v>
      </c>
      <c r="C8" s="65" t="s">
        <v>264</v>
      </c>
      <c r="D8" s="65" t="s">
        <v>264</v>
      </c>
      <c r="E8" s="65" t="s">
        <v>264</v>
      </c>
      <c r="F8" s="65" t="s">
        <v>264</v>
      </c>
      <c r="G8" s="65" t="s">
        <v>264</v>
      </c>
      <c r="H8" s="65" t="s">
        <v>264</v>
      </c>
      <c r="I8" s="68" t="s">
        <v>264</v>
      </c>
      <c r="J8" s="59"/>
      <c r="K8" s="59"/>
      <c r="L8" s="59"/>
    </row>
    <row r="9" spans="1:12" x14ac:dyDescent="0.25">
      <c r="A9" s="40" t="s">
        <v>75</v>
      </c>
      <c r="B9" s="64">
        <v>1.33</v>
      </c>
      <c r="C9" s="64">
        <v>290</v>
      </c>
      <c r="D9" s="64">
        <v>7</v>
      </c>
      <c r="E9" s="64">
        <v>12.4</v>
      </c>
      <c r="F9" s="64">
        <v>41.3</v>
      </c>
      <c r="G9" s="64">
        <v>23.3</v>
      </c>
      <c r="H9" s="64">
        <v>1.8</v>
      </c>
      <c r="I9" s="69">
        <v>4.845E-2</v>
      </c>
    </row>
    <row r="10" spans="1:12" x14ac:dyDescent="0.25">
      <c r="A10" s="40" t="s">
        <v>76</v>
      </c>
      <c r="B10" s="64">
        <v>1.47</v>
      </c>
      <c r="C10" s="64">
        <v>653</v>
      </c>
      <c r="D10" s="64">
        <v>9.4</v>
      </c>
      <c r="E10" s="64">
        <v>17.399999999999999</v>
      </c>
      <c r="F10" s="64">
        <v>69.5</v>
      </c>
      <c r="G10" s="64">
        <v>37.5</v>
      </c>
      <c r="H10" s="64">
        <v>2.2999999999999998</v>
      </c>
      <c r="I10" s="69">
        <v>3.6310000000000002E-2</v>
      </c>
    </row>
    <row r="11" spans="1:12" x14ac:dyDescent="0.25">
      <c r="A11" s="40" t="s">
        <v>77</v>
      </c>
      <c r="B11" s="64">
        <v>1.64</v>
      </c>
      <c r="C11" s="64">
        <v>1319</v>
      </c>
      <c r="D11" s="64">
        <v>12.2</v>
      </c>
      <c r="E11" s="64">
        <v>23.2</v>
      </c>
      <c r="F11" s="64">
        <v>108</v>
      </c>
      <c r="G11" s="64">
        <v>57</v>
      </c>
      <c r="H11" s="64">
        <v>2.8</v>
      </c>
      <c r="I11" s="69">
        <v>2.8570000000000002E-2</v>
      </c>
    </row>
    <row r="12" spans="1:12" x14ac:dyDescent="0.25">
      <c r="A12" s="40" t="s">
        <v>78</v>
      </c>
      <c r="B12" s="64">
        <v>1.82</v>
      </c>
      <c r="C12" s="64">
        <v>2449</v>
      </c>
      <c r="D12" s="64">
        <v>15.4</v>
      </c>
      <c r="E12" s="64">
        <v>29.7</v>
      </c>
      <c r="F12" s="64">
        <v>159.6</v>
      </c>
      <c r="G12" s="64">
        <v>82.4</v>
      </c>
      <c r="H12" s="64">
        <v>3.5</v>
      </c>
      <c r="I12" s="69">
        <v>2.3269999999999999E-2</v>
      </c>
    </row>
    <row r="13" spans="1:12" ht="18.75" x14ac:dyDescent="0.3">
      <c r="A13" s="40" t="s">
        <v>79</v>
      </c>
      <c r="B13" s="65" t="s">
        <v>264</v>
      </c>
      <c r="C13" s="65" t="s">
        <v>264</v>
      </c>
      <c r="D13" s="65" t="s">
        <v>264</v>
      </c>
      <c r="E13" s="65" t="s">
        <v>264</v>
      </c>
      <c r="F13" s="65" t="s">
        <v>264</v>
      </c>
      <c r="G13" s="65" t="s">
        <v>264</v>
      </c>
      <c r="H13" s="65" t="s">
        <v>264</v>
      </c>
      <c r="I13" s="68" t="s">
        <v>264</v>
      </c>
      <c r="J13" s="59"/>
      <c r="K13" s="59"/>
      <c r="L13" s="59"/>
    </row>
    <row r="14" spans="1:12" x14ac:dyDescent="0.25">
      <c r="A14" s="40" t="s">
        <v>80</v>
      </c>
      <c r="B14" s="64">
        <v>1.98</v>
      </c>
      <c r="C14" s="64">
        <v>4261</v>
      </c>
      <c r="D14" s="64">
        <v>18.8</v>
      </c>
      <c r="E14" s="64">
        <v>37.1</v>
      </c>
      <c r="F14" s="64">
        <v>226.8</v>
      </c>
      <c r="G14" s="64">
        <v>114.7</v>
      </c>
      <c r="H14" s="64">
        <v>4.2</v>
      </c>
      <c r="I14" s="69">
        <v>1.9429999999999999E-2</v>
      </c>
    </row>
    <row r="15" spans="1:12" ht="18.75" x14ac:dyDescent="0.3">
      <c r="A15" s="40" t="s">
        <v>81</v>
      </c>
      <c r="B15" s="65" t="s">
        <v>264</v>
      </c>
      <c r="C15" s="65" t="s">
        <v>264</v>
      </c>
      <c r="D15" s="65" t="s">
        <v>264</v>
      </c>
      <c r="E15" s="65" t="s">
        <v>264</v>
      </c>
      <c r="F15" s="65" t="s">
        <v>264</v>
      </c>
      <c r="G15" s="65" t="s">
        <v>264</v>
      </c>
      <c r="H15" s="65" t="s">
        <v>264</v>
      </c>
      <c r="I15" s="68" t="s">
        <v>264</v>
      </c>
      <c r="J15" s="59"/>
      <c r="K15" s="59"/>
      <c r="L15" s="59"/>
    </row>
    <row r="16" spans="1:12" x14ac:dyDescent="0.25">
      <c r="A16" s="40" t="s">
        <v>82</v>
      </c>
      <c r="B16" s="64">
        <v>2.16</v>
      </c>
      <c r="C16" s="64">
        <v>7022</v>
      </c>
      <c r="D16" s="64">
        <v>22.7</v>
      </c>
      <c r="E16" s="64">
        <v>45.2</v>
      </c>
      <c r="F16" s="64">
        <v>309.5</v>
      </c>
      <c r="G16" s="64">
        <v>155.30000000000001</v>
      </c>
      <c r="H16" s="64">
        <v>5.0999999999999996</v>
      </c>
      <c r="I16" s="69">
        <v>1.6570000000000001E-2</v>
      </c>
    </row>
    <row r="17" spans="1:12" x14ac:dyDescent="0.25">
      <c r="A17" s="40" t="s">
        <v>83</v>
      </c>
      <c r="B17" s="64">
        <v>2.33</v>
      </c>
      <c r="C17" s="64">
        <v>11330</v>
      </c>
      <c r="D17" s="64">
        <v>26.9</v>
      </c>
      <c r="E17" s="64">
        <v>54</v>
      </c>
      <c r="F17" s="64">
        <v>421.5</v>
      </c>
      <c r="G17" s="64">
        <v>209.9</v>
      </c>
      <c r="H17" s="64">
        <v>6.4</v>
      </c>
      <c r="I17" s="69">
        <v>1.4659999999999999E-2</v>
      </c>
    </row>
    <row r="18" spans="1:12" x14ac:dyDescent="0.25">
      <c r="A18" s="40" t="s">
        <v>84</v>
      </c>
      <c r="B18" s="64">
        <v>2.58</v>
      </c>
      <c r="C18" s="64">
        <v>18680</v>
      </c>
      <c r="D18" s="64">
        <v>32.299999999999997</v>
      </c>
      <c r="E18" s="64">
        <v>64.900000000000006</v>
      </c>
      <c r="F18" s="64">
        <v>578.9</v>
      </c>
      <c r="G18" s="64">
        <v>287.8</v>
      </c>
      <c r="H18" s="64">
        <v>8.1999999999999993</v>
      </c>
      <c r="I18" s="69">
        <v>1.286E-2</v>
      </c>
    </row>
    <row r="19" spans="1:12" x14ac:dyDescent="0.25">
      <c r="A19" s="40" t="s">
        <v>85</v>
      </c>
      <c r="B19" s="64">
        <v>2.66</v>
      </c>
      <c r="C19" s="64">
        <v>30070</v>
      </c>
      <c r="D19" s="64">
        <v>37.799999999999997</v>
      </c>
      <c r="E19" s="64">
        <v>78.2</v>
      </c>
      <c r="F19" s="64">
        <v>796.1</v>
      </c>
      <c r="G19" s="64">
        <v>384.6</v>
      </c>
      <c r="H19" s="64">
        <v>10.199999999999999</v>
      </c>
      <c r="I19" s="69">
        <v>1.1339999999999999E-2</v>
      </c>
    </row>
    <row r="20" spans="1:12" x14ac:dyDescent="0.25">
      <c r="A20" s="40" t="s">
        <v>86</v>
      </c>
      <c r="B20" s="64">
        <v>2.72</v>
      </c>
      <c r="C20" s="64">
        <v>46640</v>
      </c>
      <c r="D20" s="64">
        <v>43.3</v>
      </c>
      <c r="E20" s="64">
        <v>92.8</v>
      </c>
      <c r="F20" s="64">
        <v>1077.9000000000001</v>
      </c>
      <c r="G20" s="64">
        <v>502.6</v>
      </c>
      <c r="H20" s="64">
        <v>12.8</v>
      </c>
      <c r="I20" s="69">
        <v>1.0189999999999999E-2</v>
      </c>
    </row>
    <row r="21" spans="1:12" ht="18.75" x14ac:dyDescent="0.3">
      <c r="A21" s="40" t="s">
        <v>87</v>
      </c>
      <c r="B21" s="65" t="s">
        <v>264</v>
      </c>
      <c r="C21" s="65" t="s">
        <v>264</v>
      </c>
      <c r="D21" s="65" t="s">
        <v>264</v>
      </c>
      <c r="E21" s="65" t="s">
        <v>264</v>
      </c>
      <c r="F21" s="65" t="s">
        <v>264</v>
      </c>
      <c r="G21" s="65" t="s">
        <v>264</v>
      </c>
      <c r="H21" s="65" t="s">
        <v>264</v>
      </c>
      <c r="I21" s="68" t="s">
        <v>264</v>
      </c>
      <c r="J21" s="59"/>
      <c r="K21" s="59"/>
      <c r="L21" s="59"/>
    </row>
    <row r="22" spans="1:12" ht="18.75" x14ac:dyDescent="0.3">
      <c r="A22" s="40" t="s">
        <v>88</v>
      </c>
      <c r="B22" s="65" t="s">
        <v>264</v>
      </c>
      <c r="C22" s="65" t="s">
        <v>264</v>
      </c>
      <c r="D22" s="65" t="s">
        <v>264</v>
      </c>
      <c r="E22" s="65" t="s">
        <v>264</v>
      </c>
      <c r="F22" s="65" t="s">
        <v>264</v>
      </c>
      <c r="G22" s="65" t="s">
        <v>264</v>
      </c>
      <c r="H22" s="65" t="s">
        <v>264</v>
      </c>
      <c r="I22" s="68" t="s">
        <v>264</v>
      </c>
      <c r="J22" s="59"/>
      <c r="K22" s="59"/>
      <c r="L22" s="59"/>
    </row>
    <row r="23" spans="1:12" ht="15.75" thickBot="1" x14ac:dyDescent="0.3">
      <c r="A23" s="41" t="s">
        <v>89</v>
      </c>
      <c r="B23" s="70">
        <v>3</v>
      </c>
      <c r="C23" s="70">
        <v>164800</v>
      </c>
      <c r="D23" s="70">
        <v>64.8</v>
      </c>
      <c r="E23" s="70">
        <v>144.80000000000001</v>
      </c>
      <c r="F23" s="70">
        <v>2542.6999999999998</v>
      </c>
      <c r="G23" s="70">
        <v>1138.5</v>
      </c>
      <c r="H23" s="70">
        <v>28.3</v>
      </c>
      <c r="I23" s="71">
        <v>8.0599999999999995E-3</v>
      </c>
    </row>
    <row r="24" spans="1:12" ht="18.75" x14ac:dyDescent="0.3">
      <c r="A24" s="39" t="s">
        <v>189</v>
      </c>
      <c r="B24" s="75" t="s">
        <v>264</v>
      </c>
      <c r="C24" s="75" t="s">
        <v>264</v>
      </c>
      <c r="D24" s="75" t="s">
        <v>264</v>
      </c>
      <c r="E24" s="75" t="s">
        <v>264</v>
      </c>
      <c r="F24" s="75" t="s">
        <v>264</v>
      </c>
      <c r="G24" s="75" t="s">
        <v>264</v>
      </c>
      <c r="H24" s="75" t="s">
        <v>264</v>
      </c>
      <c r="I24" s="76" t="s">
        <v>264</v>
      </c>
      <c r="J24" s="59"/>
      <c r="K24" s="59"/>
      <c r="L24" s="59"/>
    </row>
    <row r="25" spans="1:12" ht="18.75" x14ac:dyDescent="0.3">
      <c r="A25" s="40" t="s">
        <v>192</v>
      </c>
      <c r="B25" s="65" t="s">
        <v>264</v>
      </c>
      <c r="C25" s="65" t="s">
        <v>264</v>
      </c>
      <c r="D25" s="65" t="s">
        <v>264</v>
      </c>
      <c r="E25" s="65" t="s">
        <v>264</v>
      </c>
      <c r="F25" s="65" t="s">
        <v>264</v>
      </c>
      <c r="G25" s="65" t="s">
        <v>264</v>
      </c>
      <c r="H25" s="65" t="s">
        <v>264</v>
      </c>
      <c r="I25" s="68" t="s">
        <v>264</v>
      </c>
      <c r="J25" s="59"/>
      <c r="K25" s="59"/>
      <c r="L25" s="59"/>
    </row>
    <row r="26" spans="1:12" ht="18.75" x14ac:dyDescent="0.3">
      <c r="A26" s="40" t="s">
        <v>195</v>
      </c>
      <c r="B26" s="65" t="s">
        <v>264</v>
      </c>
      <c r="C26" s="65" t="s">
        <v>264</v>
      </c>
      <c r="D26" s="65" t="s">
        <v>264</v>
      </c>
      <c r="E26" s="65" t="s">
        <v>264</v>
      </c>
      <c r="F26" s="65" t="s">
        <v>264</v>
      </c>
      <c r="G26" s="65" t="s">
        <v>264</v>
      </c>
      <c r="H26" s="65" t="s">
        <v>264</v>
      </c>
      <c r="I26" s="68" t="s">
        <v>264</v>
      </c>
      <c r="J26" s="59"/>
      <c r="K26" s="59"/>
      <c r="L26" s="59"/>
    </row>
    <row r="27" spans="1:12" x14ac:dyDescent="0.25">
      <c r="A27" s="40" t="s">
        <v>196</v>
      </c>
      <c r="B27" s="64">
        <v>1.39</v>
      </c>
      <c r="C27" s="64">
        <v>350</v>
      </c>
      <c r="D27" s="64">
        <v>7.5</v>
      </c>
      <c r="E27" s="64">
        <v>12.7</v>
      </c>
      <c r="F27" s="64">
        <v>46.8</v>
      </c>
      <c r="G27" s="64">
        <v>27.5</v>
      </c>
      <c r="H27" s="64">
        <v>1.8</v>
      </c>
      <c r="I27" s="69">
        <v>4.4089999999999997E-2</v>
      </c>
    </row>
    <row r="28" spans="1:12" x14ac:dyDescent="0.25">
      <c r="A28" s="40" t="s">
        <v>197</v>
      </c>
      <c r="B28" s="64">
        <v>1.56</v>
      </c>
      <c r="C28" s="64">
        <v>795</v>
      </c>
      <c r="D28" s="64">
        <v>10.1</v>
      </c>
      <c r="E28" s="64">
        <v>17.7</v>
      </c>
      <c r="F28" s="64">
        <v>78.7</v>
      </c>
      <c r="G28" s="64">
        <v>44.8</v>
      </c>
      <c r="H28" s="64">
        <v>2.2999999999999998</v>
      </c>
      <c r="I28" s="69">
        <v>3.2910000000000002E-2</v>
      </c>
    </row>
    <row r="29" spans="1:12" x14ac:dyDescent="0.25">
      <c r="A29" s="40" t="s">
        <v>200</v>
      </c>
      <c r="B29" s="64">
        <v>1.74</v>
      </c>
      <c r="C29" s="64">
        <v>1620</v>
      </c>
      <c r="D29" s="64">
        <v>13.1</v>
      </c>
      <c r="E29" s="64">
        <v>23.5</v>
      </c>
      <c r="F29" s="64">
        <v>123.5</v>
      </c>
      <c r="G29" s="64">
        <v>68.900000000000006</v>
      </c>
      <c r="H29" s="64">
        <v>2.8</v>
      </c>
      <c r="I29" s="69">
        <v>2.579E-2</v>
      </c>
      <c r="J29"/>
    </row>
    <row r="30" spans="1:12" x14ac:dyDescent="0.25">
      <c r="A30" s="40" t="s">
        <v>202</v>
      </c>
      <c r="B30" s="64">
        <v>1.93</v>
      </c>
      <c r="C30" s="64">
        <v>3037</v>
      </c>
      <c r="D30" s="64">
        <v>16.5</v>
      </c>
      <c r="E30" s="64">
        <v>30.1</v>
      </c>
      <c r="F30" s="64">
        <v>183.8</v>
      </c>
      <c r="G30" s="64">
        <v>100.9</v>
      </c>
      <c r="H30" s="64">
        <v>3.5</v>
      </c>
      <c r="I30" s="69">
        <v>2.0389999999999998E-2</v>
      </c>
    </row>
    <row r="31" spans="1:12" ht="18.75" x14ac:dyDescent="0.3">
      <c r="A31" s="40" t="s">
        <v>204</v>
      </c>
      <c r="B31" s="65" t="s">
        <v>264</v>
      </c>
      <c r="C31" s="65" t="s">
        <v>264</v>
      </c>
      <c r="D31" s="65" t="s">
        <v>264</v>
      </c>
      <c r="E31" s="65" t="s">
        <v>264</v>
      </c>
      <c r="F31" s="65" t="s">
        <v>264</v>
      </c>
      <c r="G31" s="65" t="s">
        <v>264</v>
      </c>
      <c r="H31" s="65" t="s">
        <v>264</v>
      </c>
      <c r="I31" s="68" t="s">
        <v>264</v>
      </c>
      <c r="J31" s="59"/>
      <c r="K31" s="59"/>
      <c r="L31" s="59"/>
    </row>
    <row r="32" spans="1:12" x14ac:dyDescent="0.25">
      <c r="A32" s="40" t="s">
        <v>207</v>
      </c>
      <c r="B32" s="64">
        <v>2.11</v>
      </c>
      <c r="C32" s="64">
        <v>5330</v>
      </c>
      <c r="D32" s="64">
        <v>20.3</v>
      </c>
      <c r="E32" s="64">
        <v>37.5</v>
      </c>
      <c r="F32" s="64">
        <v>262.60000000000002</v>
      </c>
      <c r="G32" s="64">
        <v>142.19999999999999</v>
      </c>
      <c r="H32" s="64">
        <v>4.2</v>
      </c>
      <c r="I32" s="69">
        <v>1.737E-2</v>
      </c>
    </row>
    <row r="33" spans="1:12" ht="18.75" x14ac:dyDescent="0.3">
      <c r="A33" s="40" t="s">
        <v>209</v>
      </c>
      <c r="B33" s="65" t="s">
        <v>264</v>
      </c>
      <c r="C33" s="65" t="s">
        <v>264</v>
      </c>
      <c r="D33" s="65" t="s">
        <v>264</v>
      </c>
      <c r="E33" s="65" t="s">
        <v>264</v>
      </c>
      <c r="F33" s="65" t="s">
        <v>264</v>
      </c>
      <c r="G33" s="65" t="s">
        <v>264</v>
      </c>
      <c r="H33" s="65" t="s">
        <v>264</v>
      </c>
      <c r="I33" s="68" t="s">
        <v>264</v>
      </c>
      <c r="J33" s="59"/>
      <c r="K33" s="59"/>
      <c r="L33" s="59"/>
    </row>
    <row r="34" spans="1:12" x14ac:dyDescent="0.25">
      <c r="A34" s="40" t="s">
        <v>18</v>
      </c>
      <c r="B34" s="64">
        <v>2.2999999999999998</v>
      </c>
      <c r="C34" s="64">
        <v>8873</v>
      </c>
      <c r="D34" s="64">
        <v>24.4</v>
      </c>
      <c r="E34" s="64">
        <v>45.7</v>
      </c>
      <c r="F34" s="64">
        <v>363</v>
      </c>
      <c r="G34" s="64">
        <v>194.4</v>
      </c>
      <c r="H34" s="64">
        <v>5.0999999999999996</v>
      </c>
      <c r="I34" s="69">
        <v>1.474E-2</v>
      </c>
    </row>
    <row r="35" spans="1:12" x14ac:dyDescent="0.25">
      <c r="A35" s="40" t="s">
        <v>215</v>
      </c>
      <c r="B35" s="64">
        <v>2.48</v>
      </c>
      <c r="C35" s="64">
        <v>14387</v>
      </c>
      <c r="D35" s="64">
        <v>28.9</v>
      </c>
      <c r="E35" s="64">
        <v>54.5</v>
      </c>
      <c r="F35" s="64">
        <v>497.3</v>
      </c>
      <c r="G35" s="64">
        <v>263.8</v>
      </c>
      <c r="H35" s="64">
        <v>6.4</v>
      </c>
      <c r="I35" s="69">
        <v>1.3010000000000001E-2</v>
      </c>
    </row>
    <row r="36" spans="1:12" x14ac:dyDescent="0.25">
      <c r="A36" s="40" t="s">
        <v>218</v>
      </c>
      <c r="B36" s="64">
        <v>2.75</v>
      </c>
      <c r="C36" s="64">
        <v>23911</v>
      </c>
      <c r="D36" s="64">
        <v>34.799999999999997</v>
      </c>
      <c r="E36" s="64">
        <v>65.5</v>
      </c>
      <c r="F36" s="64">
        <v>686.5</v>
      </c>
      <c r="G36" s="64">
        <v>365.3</v>
      </c>
      <c r="H36" s="64">
        <v>8.1999999999999993</v>
      </c>
      <c r="I36" s="69">
        <v>1.137E-2</v>
      </c>
    </row>
    <row r="37" spans="1:12" x14ac:dyDescent="0.25">
      <c r="A37" s="40" t="s">
        <v>221</v>
      </c>
      <c r="B37" s="64">
        <v>2.83</v>
      </c>
      <c r="C37" s="64">
        <v>38533</v>
      </c>
      <c r="D37" s="64">
        <v>40.6</v>
      </c>
      <c r="E37" s="64">
        <v>78.8</v>
      </c>
      <c r="F37" s="64">
        <v>949.1</v>
      </c>
      <c r="G37" s="64">
        <v>489.2</v>
      </c>
      <c r="H37" s="64">
        <v>10.199999999999999</v>
      </c>
      <c r="I37" s="69">
        <v>1.0019999999999999E-2</v>
      </c>
    </row>
    <row r="38" spans="1:12" x14ac:dyDescent="0.25">
      <c r="A38" s="40" t="s">
        <v>222</v>
      </c>
      <c r="B38" s="64">
        <v>2.9</v>
      </c>
      <c r="C38" s="64">
        <v>59795</v>
      </c>
      <c r="D38" s="64">
        <v>46.7</v>
      </c>
      <c r="E38" s="64">
        <v>93.1</v>
      </c>
      <c r="F38" s="64">
        <v>1281.3</v>
      </c>
      <c r="G38" s="64">
        <v>642</v>
      </c>
      <c r="H38" s="64">
        <v>12.8</v>
      </c>
      <c r="I38" s="69">
        <v>8.9999999999999993E-3</v>
      </c>
    </row>
    <row r="39" spans="1:12" ht="18.75" x14ac:dyDescent="0.3">
      <c r="A39" s="40" t="s">
        <v>224</v>
      </c>
      <c r="B39" s="65" t="s">
        <v>264</v>
      </c>
      <c r="C39" s="65" t="s">
        <v>264</v>
      </c>
      <c r="D39" s="65" t="s">
        <v>264</v>
      </c>
      <c r="E39" s="65" t="s">
        <v>264</v>
      </c>
      <c r="F39" s="65" t="s">
        <v>264</v>
      </c>
      <c r="G39" s="65" t="s">
        <v>264</v>
      </c>
      <c r="H39" s="65" t="s">
        <v>264</v>
      </c>
      <c r="I39" s="68" t="s">
        <v>264</v>
      </c>
      <c r="J39" s="59"/>
      <c r="K39" s="59"/>
      <c r="L39" s="59"/>
    </row>
    <row r="40" spans="1:12" ht="18.75" x14ac:dyDescent="0.3">
      <c r="A40" s="40" t="s">
        <v>226</v>
      </c>
      <c r="B40" s="65" t="s">
        <v>264</v>
      </c>
      <c r="C40" s="65" t="s">
        <v>264</v>
      </c>
      <c r="D40" s="65" t="s">
        <v>264</v>
      </c>
      <c r="E40" s="65" t="s">
        <v>264</v>
      </c>
      <c r="F40" s="65" t="s">
        <v>264</v>
      </c>
      <c r="G40" s="65" t="s">
        <v>264</v>
      </c>
      <c r="H40" s="65" t="s">
        <v>264</v>
      </c>
      <c r="I40" s="68" t="s">
        <v>264</v>
      </c>
      <c r="J40" s="59"/>
      <c r="K40" s="59"/>
      <c r="L40" s="59"/>
    </row>
    <row r="41" spans="1:12" ht="15.75" thickBot="1" x14ac:dyDescent="0.3">
      <c r="A41" s="41" t="s">
        <v>229</v>
      </c>
      <c r="B41" s="70">
        <v>3.11</v>
      </c>
      <c r="C41" s="70">
        <v>208882</v>
      </c>
      <c r="D41" s="70">
        <v>67.900000000000006</v>
      </c>
      <c r="E41" s="70">
        <v>146.6</v>
      </c>
      <c r="F41" s="70">
        <v>3077.6</v>
      </c>
      <c r="G41" s="70">
        <v>1424.5</v>
      </c>
      <c r="H41" s="70">
        <v>28.3</v>
      </c>
      <c r="I41" s="71">
        <v>7.1599999999999997E-3</v>
      </c>
    </row>
  </sheetData>
  <mergeCells count="1">
    <mergeCell ref="A4:A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3314" r:id="rId4">
          <objectPr defaultSize="0" autoPict="0" r:id="rId5">
            <anchor moveWithCells="1" sizeWithCells="1">
              <from>
                <xdr:col>8</xdr:col>
                <xdr:colOff>104775</xdr:colOff>
                <xdr:row>3</xdr:row>
                <xdr:rowOff>47625</xdr:rowOff>
              </from>
              <to>
                <xdr:col>8</xdr:col>
                <xdr:colOff>800100</xdr:colOff>
                <xdr:row>4</xdr:row>
                <xdr:rowOff>19050</xdr:rowOff>
              </to>
            </anchor>
          </objectPr>
        </oleObject>
      </mc:Choice>
      <mc:Fallback>
        <oleObject progId="Equation.3" shapeId="1331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без учета бимомента и без тяжей</vt:lpstr>
      <vt:lpstr>без учета бимомента,один тяж</vt:lpstr>
      <vt:lpstr>без учета бимомента,два тяжа</vt:lpstr>
      <vt:lpstr>с учетом бимомента</vt:lpstr>
      <vt:lpstr>Приложение Б. Бычков</vt:lpstr>
      <vt:lpstr>Геом. характеристики швеллера</vt:lpstr>
      <vt:lpstr>Секториальные характер швеллера</vt:lpstr>
      <vt:lpstr>'без учета бимомента и без тяжей'!Область_печати</vt:lpstr>
      <vt:lpstr>'без учета бимомента,два тяжа'!Область_печати</vt:lpstr>
      <vt:lpstr>'без учета бимомента,один тяж'!Область_печати</vt:lpstr>
      <vt:lpstr>'с учетом бимомента'!Область_печати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2015-12-17T11:45:36Z</dcterms:modified>
</cp:coreProperties>
</file>